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5195" windowHeight="11640" tabRatio="774" activeTab="5"/>
  </bookViews>
  <sheets>
    <sheet name="Hinnad" sheetId="1" r:id="rId1"/>
    <sheet name="Loetelu" sheetId="2" r:id="rId2"/>
    <sheet name="Pivot Koond" sheetId="3" r:id="rId3"/>
    <sheet name="Pivot Koond (2)" sheetId="4" r:id="rId4"/>
    <sheet name="Projektid" sheetId="5" r:id="rId5"/>
    <sheet name="Investeeringute ajakava" sheetId="6" r:id="rId6"/>
    <sheet name="LA pr-de tabelid seletuskirjas" sheetId="7" r:id="rId7"/>
    <sheet name="LA+PA tabelid seletuskirjas" sheetId="8" r:id="rId8"/>
  </sheets>
  <definedNames>
    <definedName name="_xlnm._FilterDatabase" localSheetId="1" hidden="1">'Loetelu'!$A$2:$K$163</definedName>
    <definedName name="_xlnm.Print_Titles" localSheetId="1">'Loetelu'!$2:$2</definedName>
  </definedNames>
  <calcPr fullCalcOnLoad="1"/>
  <pivotCaches>
    <pivotCache cacheId="4" r:id="rId9"/>
  </pivotCaches>
</workbook>
</file>

<file path=xl/sharedStrings.xml><?xml version="1.0" encoding="utf-8"?>
<sst xmlns="http://schemas.openxmlformats.org/spreadsheetml/2006/main" count="1624" uniqueCount="322">
  <si>
    <t>Piirkond</t>
  </si>
  <si>
    <t>Kood</t>
  </si>
  <si>
    <t>Nimetus</t>
  </si>
  <si>
    <t>Ühik</t>
  </si>
  <si>
    <t>m</t>
  </si>
  <si>
    <t>kmpl</t>
  </si>
  <si>
    <t>üheastmelise pumpla tehnoloogia</t>
  </si>
  <si>
    <t>puuraugu tamponeerimine</t>
  </si>
  <si>
    <t>tk</t>
  </si>
  <si>
    <t>m2</t>
  </si>
  <si>
    <t>hoone rekonstrueerimine</t>
  </si>
  <si>
    <t>m3/h</t>
  </si>
  <si>
    <t>m3</t>
  </si>
  <si>
    <t>Torustikud</t>
  </si>
  <si>
    <t>ie</t>
  </si>
  <si>
    <t>Muu ehitus</t>
  </si>
  <si>
    <t>Uuringud</t>
  </si>
  <si>
    <t>TV - uuringud (sh pesu &lt;DN300)</t>
  </si>
  <si>
    <t>TV - uuringud (sh pesu &gt;DN300)</t>
  </si>
  <si>
    <t>torustike hüdropneumaatiline läbipesu</t>
  </si>
  <si>
    <t>geodeetiline mõõdistamine</t>
  </si>
  <si>
    <t>ha</t>
  </si>
  <si>
    <t>geotehnilised uuringud  - puuraugud</t>
  </si>
  <si>
    <t>puurkaevu videouuring</t>
  </si>
  <si>
    <t>šahtis asuva puurkaevu ja päise rekonstrueerimine, ehitustööd</t>
  </si>
  <si>
    <t>Vee- ja kanalisatsiooni majaühendus</t>
  </si>
  <si>
    <t>Asfaltkatte taastamine (1-kihiline)</t>
  </si>
  <si>
    <t>Asfaltkatte taastamine (2-kihiline)</t>
  </si>
  <si>
    <t>Märkus</t>
  </si>
  <si>
    <t>Kogus</t>
  </si>
  <si>
    <t>Maksumus</t>
  </si>
  <si>
    <t>Ühiku hind</t>
  </si>
  <si>
    <t>Piirdeaed (terasvõrk H=2m)</t>
  </si>
  <si>
    <t xml:space="preserve">Reoveepuhasti Q&gt;1000 IE </t>
  </si>
  <si>
    <t>Isevoolse torustiku rajamine eraldi kaevikus H=2...2.5m</t>
  </si>
  <si>
    <t>Isevoolse torustiku rajamine ühises kaevikus H=2...2.5m</t>
  </si>
  <si>
    <t>Isevoolse torustiku rajamine eraldi kaevikus H=2.5...3.0m</t>
  </si>
  <si>
    <t>Isevoolse torustiku rajamine ühises kaevikus H=2.5...3.0m</t>
  </si>
  <si>
    <t>Isevoolse torustiku rajamine eraldi kaevikus H=3.0...3.5m</t>
  </si>
  <si>
    <t>Isevoolse torustiku rajamine ühises kaevikus H=3.0...3.5m</t>
  </si>
  <si>
    <t>Veetorustiku rekonstrueerimine kinnisel meetodil</t>
  </si>
  <si>
    <t>Purgla</t>
  </si>
  <si>
    <t>Immutusväljaku rajamine koos septikuga</t>
  </si>
  <si>
    <t>Reoveepumpla Q &lt; 5 l/s</t>
  </si>
  <si>
    <t>Reoveepumpla Q = 50 - 100 l/s</t>
  </si>
  <si>
    <t>Reoveepumpla (väikepumpla)</t>
  </si>
  <si>
    <t>Isevoolse torustiku rekonstrueerimine kinnisel meetodil</t>
  </si>
  <si>
    <t>Veetöötlus (raud)</t>
  </si>
  <si>
    <t>Veetöötlus (mangaan+raud)</t>
  </si>
  <si>
    <t>Veetöötlus (mangaan+raud) kaheastmeline</t>
  </si>
  <si>
    <t>Teise astme pumpla tehnoloogia (&lt;15 m3/h)</t>
  </si>
  <si>
    <t>Lammutustööd</t>
  </si>
  <si>
    <t>Juurdesõidutee või platsi rajamine (kruusakattega)</t>
  </si>
  <si>
    <t>kood</t>
  </si>
  <si>
    <t>Puurkaevpumplad, veetöötlus</t>
  </si>
  <si>
    <t>Reoveepumplad, -puhastid</t>
  </si>
  <si>
    <t>R/b kanalisatsiooni kaevu rek</t>
  </si>
  <si>
    <t>Tuletõrjehüdrant</t>
  </si>
  <si>
    <t>Sum of Maksumus</t>
  </si>
  <si>
    <t>Veemõõtekaev trassil</t>
  </si>
  <si>
    <t>Tuletõrjevee mahuti 54m3</t>
  </si>
  <si>
    <t>112A</t>
  </si>
  <si>
    <t>103A</t>
  </si>
  <si>
    <t>Üheastmelise pumpla tehnoloogia (lisaks II astmele)</t>
  </si>
  <si>
    <t>Puhtaveereservuaar (50 - 200 m3)</t>
  </si>
  <si>
    <t>Puhtaveereservuaar (201 + m3)</t>
  </si>
  <si>
    <t>Hind EUR</t>
  </si>
  <si>
    <t>202a</t>
  </si>
  <si>
    <t>202b</t>
  </si>
  <si>
    <t>201a</t>
  </si>
  <si>
    <t>Veetorustiku rajamine eraldi kaevikus põllumaal</t>
  </si>
  <si>
    <t>203a</t>
  </si>
  <si>
    <t>Muud seadmed</t>
  </si>
  <si>
    <t>Diiselgeneraator tuletõrjevee pumpade toiteallikaks</t>
  </si>
  <si>
    <t>203b</t>
  </si>
  <si>
    <t>Valdkond</t>
  </si>
  <si>
    <t>Veetorustiku rajamine ühises kaevikus põllumaal</t>
  </si>
  <si>
    <t>Veetorustiku rajamine ühises kaevikus põllumaal koos survetoruga</t>
  </si>
  <si>
    <t>101a</t>
  </si>
  <si>
    <t>Veetorustiku rekonstrueerimine</t>
  </si>
  <si>
    <t>Isevoolse torustiku rajamine eraldi kaevikus H&lt;2.0m valdavalt haljasalal</t>
  </si>
  <si>
    <t>Sademevee kraavi rajamine põllumaal</t>
  </si>
  <si>
    <t>Tüüp</t>
  </si>
  <si>
    <t>Harku</t>
  </si>
  <si>
    <t>Rukkilille</t>
  </si>
  <si>
    <t>Veevarustuse majaühendus (sh tarnetoru, ühendus tänavatorustikuga, maakraan)</t>
  </si>
  <si>
    <t>Instituudi tee</t>
  </si>
  <si>
    <t>K laiendus</t>
  </si>
  <si>
    <t>V laiendus</t>
  </si>
  <si>
    <t>Üldkokkuvõte</t>
  </si>
  <si>
    <t>V rek</t>
  </si>
  <si>
    <t>Isevoolse torustiku rekonstrueerimine</t>
  </si>
  <si>
    <t>Reoveepumpla Q = 5 - 10 l/s</t>
  </si>
  <si>
    <t>Reoveepumpla Q = 10 - 20 l/s</t>
  </si>
  <si>
    <t>K rek</t>
  </si>
  <si>
    <t>Survekanalisatsiooni rekonstrueerimine</t>
  </si>
  <si>
    <t>Olemasolev</t>
  </si>
  <si>
    <t>Metsa tee</t>
  </si>
  <si>
    <t>Tehnoloogilise hoone rajamine</t>
  </si>
  <si>
    <t>103a</t>
  </si>
  <si>
    <t>Juurdesõidutee ja/või platsi rajamine (asfaltkattega)</t>
  </si>
  <si>
    <t>Vääna</t>
  </si>
  <si>
    <t>Tiskre</t>
  </si>
  <si>
    <t>Järvekalda</t>
  </si>
  <si>
    <t>Hobuseraua</t>
  </si>
  <si>
    <t>Tammiaugu</t>
  </si>
  <si>
    <t>De63</t>
  </si>
  <si>
    <t>Kanalisatsiooni majaühendus (sh tarnetoru, ühendus tänavatorustikuga, liitumiskaev)</t>
  </si>
  <si>
    <t>221a</t>
  </si>
  <si>
    <t>Survekanalisatsiooni majaühendus (sh tarnetoru, ühendus tänavatorustikuga, maakraan</t>
  </si>
  <si>
    <t>306a</t>
  </si>
  <si>
    <t>Reoveepuhasti kaugjuhtimine ja SCADA-ga sidumine</t>
  </si>
  <si>
    <t>Reoveepuhasti territooriumi rajatised (piirdeaed, plats, valgustus)</t>
  </si>
  <si>
    <t>Survekanalisatsiooni rajamine eraldi kaevikus põllumaal</t>
  </si>
  <si>
    <t>Survekanalisatsiooni  rajamine ühises kaevikus põllumaal koos veetoruga</t>
  </si>
  <si>
    <t>304a</t>
  </si>
  <si>
    <t>Reoveepumpla pumbade asendus ja sidumine SCADA-ga</t>
  </si>
  <si>
    <t>Reoveepuhasti Q&lt;100 IE  tehnoloogiline osa koos paigaldusega</t>
  </si>
  <si>
    <t>Reoveepuhasti Q = 100-1000 IE tehnoloogiline osa koos paigaldusega</t>
  </si>
  <si>
    <t>302a</t>
  </si>
  <si>
    <t>Reoveepumpla Q = 5 l/s</t>
  </si>
  <si>
    <t>Vana reoveepuhasti likvideerimine</t>
  </si>
  <si>
    <t>Survekanalisatsiooni  rajamine ühises kaevikus</t>
  </si>
  <si>
    <t>Isevoolse torustiku rajamine ühises kaevikus</t>
  </si>
  <si>
    <t>Alajaama tee</t>
  </si>
  <si>
    <t>Veetorustiku rajamine ühises kaevikus</t>
  </si>
  <si>
    <t>Biotiikide puhastamine settest</t>
  </si>
  <si>
    <t>Projekti nimetus</t>
  </si>
  <si>
    <t>Asukoht</t>
  </si>
  <si>
    <t>Tabasalu</t>
  </si>
  <si>
    <t>Pumpade asendamine</t>
  </si>
  <si>
    <t>2-niidline torustik PE De125mm</t>
  </si>
  <si>
    <t>Projekt</t>
  </si>
  <si>
    <t>RP-Mere</t>
  </si>
  <si>
    <t>Kumna-Tut.</t>
  </si>
  <si>
    <t>Survetõstepumpla rajamine</t>
  </si>
  <si>
    <t>lmpl</t>
  </si>
  <si>
    <t>Tabasalu-Tallinn</t>
  </si>
  <si>
    <t>De280</t>
  </si>
  <si>
    <t>De355</t>
  </si>
  <si>
    <t>Hoolduskaevud</t>
  </si>
  <si>
    <t>RP-Ojakääru survetoru PE De110 ümberühendamine Oja tee isevoolsesse kaevu ja kaevu rekonstrueerimine</t>
  </si>
  <si>
    <t>RP-J.Venteri tee survetoru 2x100met ümberühendamine proj. torustiku peale</t>
  </si>
  <si>
    <t>Ühendus De160 Instituudi teega</t>
  </si>
  <si>
    <t>Teise astme pumpla tehnoloogia (kuni 60 m3/h)</t>
  </si>
  <si>
    <t>Teise astme pumpla tehnoloogia (kuni 45 m3/h)</t>
  </si>
  <si>
    <t>Teise astme pumpla tehnoloogia (kuni 30 m3/h)</t>
  </si>
  <si>
    <t>C-V puurkaevu rajamine</t>
  </si>
  <si>
    <t>O-C puurkaevu rajamine</t>
  </si>
  <si>
    <t>Ühendus De63 Instituudi teega</t>
  </si>
  <si>
    <t>Metsa tee-orig</t>
  </si>
  <si>
    <t>Olemasolevate rajatiste lammutamine</t>
  </si>
  <si>
    <t>Nooruse tn</t>
  </si>
  <si>
    <t>TÜÜP</t>
  </si>
  <si>
    <t>Veetorustiku rajamine</t>
  </si>
  <si>
    <t>Survekanalisatsiooni rajamine</t>
  </si>
  <si>
    <t>Isevoolse torustiku rajamine</t>
  </si>
  <si>
    <t>Reoveepumpla Ranna 1 lammutamine</t>
  </si>
  <si>
    <t>Lucca</t>
  </si>
  <si>
    <t>VTJ-Järvekalda</t>
  </si>
  <si>
    <t>De160 ühendus Kiriku tee veetoruga</t>
  </si>
  <si>
    <t>RP-Venteri tee</t>
  </si>
  <si>
    <t>VTJ-Harku</t>
  </si>
  <si>
    <t>RVP-Merihobu</t>
  </si>
  <si>
    <t>Sõrve tee</t>
  </si>
  <si>
    <t>RVP-Loopealse</t>
  </si>
  <si>
    <t>RVP-Otsa-Mikko</t>
  </si>
  <si>
    <t>VTJ-Pillado</t>
  </si>
  <si>
    <t>PK-Pillado asukohta veetöötlusjaama 20m3/h, reservuaari 300m3 ja 2a pumpla rajamine</t>
  </si>
  <si>
    <t>Heitvee immutusväljaku rajamine muldesse</t>
  </si>
  <si>
    <t>RVP-Veskivahi</t>
  </si>
  <si>
    <t>Kumna-Tutermaa</t>
  </si>
  <si>
    <t>Territooriumi rajatised (piirdeaed, plats, valgustus)</t>
  </si>
  <si>
    <t>kuni Otsa-Mikko ühenduseni</t>
  </si>
  <si>
    <t>Vahi</t>
  </si>
  <si>
    <t>Ühisveevärgi ja -kanalisatsiooni laiendamine Tammiaugu tee piirkonda (17 elamukinnistut) survekanalisatsiooni lahendusega</t>
  </si>
  <si>
    <t>Tutermaa</t>
  </si>
  <si>
    <t>Ühisveevärgi ja -kanalisatsiooni laiendamine Alajaama tee piirkonda (17 elamukinnistut) koos uue puurkaevpumplaga</t>
  </si>
  <si>
    <t>RVP-Vääna</t>
  </si>
  <si>
    <t>VMK-Tabasalu-Tiskre</t>
  </si>
  <si>
    <t>Lucca tänava piirkonna veetorustike ühendamine OÜ Strantumi veevärgiga</t>
  </si>
  <si>
    <t>Pällo</t>
  </si>
  <si>
    <t>Alajaama tee-PK-alt</t>
  </si>
  <si>
    <t>Alajaama tee-PK-Alt</t>
  </si>
  <si>
    <t>RVP-Veskivahi-Alt</t>
  </si>
  <si>
    <t>RP-Mere survetorustiku 2X De125 pikendamine Nooruse tn-ni</t>
  </si>
  <si>
    <t>Uue C-V puurkaevu, veetöötlusjaama 20m3/h, reservuaari 300m3 ja 2a pumpla rajamine (sh ühendamine olemasolevate peatorustikega)</t>
  </si>
  <si>
    <t>Kogumismahuti asemel uue reoveepuhasti 200IE rajamine</t>
  </si>
  <si>
    <t>Tallinn</t>
  </si>
  <si>
    <t>Nooruse</t>
  </si>
  <si>
    <t>VTJ-Järvekalda-torud</t>
  </si>
  <si>
    <t>De63 survetoru rajamine</t>
  </si>
  <si>
    <t>Sarapuu tn</t>
  </si>
  <si>
    <t>Saare tn</t>
  </si>
  <si>
    <t>De355+katete taastamine</t>
  </si>
  <si>
    <t>Sarapuu-Saare</t>
  </si>
  <si>
    <t>Olemasoleva veetorustiku rekonstrueerimine (Sarapuu-Pähkli, Saare tn)</t>
  </si>
  <si>
    <t>Vanad pumplate hooned ja reservuaarid</t>
  </si>
  <si>
    <t>Lääne pool</t>
  </si>
  <si>
    <t>RP-Tammiku</t>
  </si>
  <si>
    <t>Ida pool</t>
  </si>
  <si>
    <t>Nooruse tn VK ja SK torude rekonstrueerimine ja rajamine (sh RP-Ranna 1 lammutamine)</t>
  </si>
  <si>
    <t>Reoveepumpla RP-Ranna 2 survekollektori rekonstrueerimine</t>
  </si>
  <si>
    <t>PK-Järvekalda asukohta veetöötlusjaama 20m3/h, reservuaari 300m3 ja 2a pumpla rajamine</t>
  </si>
  <si>
    <t>VTJ-Järvekalda torud</t>
  </si>
  <si>
    <t>PK-Järvekalda ühendamine Kiriku tee magistraaltoruga (sh persp. VTJ survekanalisatsioon)</t>
  </si>
  <si>
    <t>Pällo tänava elamutele ühiskanalisatsiooni laiendamine survekanalisatsiooni lahendusena ja veetorustiku rekonstrueerimine (sh ühendamine Strantumi võrguga)</t>
  </si>
  <si>
    <t>Tutermaa küla ühisveergi ja -kanalisatsiooni rekonstrueerimine</t>
  </si>
  <si>
    <t>Reoveepuhasti biotiikide puhastamine settest</t>
  </si>
  <si>
    <t>Tabasalu-Tiskre-Harkujärve piirkonna vee- ja reoveemõõdukaevude-siibrite rajamine AS Tallinna Vesi piiritluspunktidesse</t>
  </si>
  <si>
    <t>VTJ territooriumi rajatised (piirdeaed, plats, valgustus)</t>
  </si>
  <si>
    <t>SK</t>
  </si>
  <si>
    <t>Üldkulud</t>
  </si>
  <si>
    <t>Sademevee ja drenaaži rajamine</t>
  </si>
  <si>
    <t>kuni ol.oleva eelvooluni</t>
  </si>
  <si>
    <t>Pällo-RP</t>
  </si>
  <si>
    <t>Lühiajalised investeeringud</t>
  </si>
  <si>
    <t>Pikaajalised investeeringud</t>
  </si>
  <si>
    <t>KOKKU</t>
  </si>
  <si>
    <t>Rannamõisa</t>
  </si>
  <si>
    <t>Allika veetöötlusjaama asenduspuurkaevu rajamine</t>
  </si>
  <si>
    <t>Ettenägematud kulud</t>
  </si>
  <si>
    <t>Projekteerimine</t>
  </si>
  <si>
    <t>Projekteerimis- ehitustööd kokku</t>
  </si>
  <si>
    <t>Projektijuhtimine ja omanikujärelevalve</t>
  </si>
  <si>
    <t>KÕIK KOKKU</t>
  </si>
  <si>
    <t>Veduri põik</t>
  </si>
  <si>
    <t>Naage</t>
  </si>
  <si>
    <t>Naage veetöötlusjaama  rajamine</t>
  </si>
  <si>
    <t>Naage veetorustike rajamine</t>
  </si>
  <si>
    <t>Naage kanalitorustike rajamine (sh ühendustorustik Vääna-Jõesuuga)</t>
  </si>
  <si>
    <t>Harkujärve</t>
  </si>
  <si>
    <t>Rukkilille tn, Põllu tn, Uus tn ÜVK rekonstrueerimine ja laiendamine</t>
  </si>
  <si>
    <t>Metsa tee, Klubi tn, Pikk tn, Põhja tn ühisveevärgi ja kanalisatsiooni rekonstrueerimine ja laiendamine</t>
  </si>
  <si>
    <t>Pargitaguse elamurajooni (Heina, Õle, Pae, Kalju jt tänavate elamud) ühendamine ühisveevärgi ja kanalisatsiooniga</t>
  </si>
  <si>
    <t>Hobuseraua ja J. Venteri tee piirkonna ühisveevärgi ja -kanalisatsiooni rekonstrueerimine</t>
  </si>
  <si>
    <t>Järvekalda, Loodjärve, Jaaniku ja Koduaia tee piirkonna ühisveevärgi ja -kanalisatsiooni rekonstrueerimine</t>
  </si>
  <si>
    <t>Vääna küla ühiskanalisatsiooni rekonstrueerimine</t>
  </si>
  <si>
    <t>Otsa-Mikko piirkonna kanalisatsiooni ühendamine Vitiga</t>
  </si>
  <si>
    <t>Naage veetorustikud</t>
  </si>
  <si>
    <t>Naage VTJ</t>
  </si>
  <si>
    <t>Naage kanalisatsioon</t>
  </si>
  <si>
    <t>Kokku</t>
  </si>
  <si>
    <t>(tühi)</t>
  </si>
  <si>
    <t>Vajalik investeering</t>
  </si>
  <si>
    <t>Veetöötlusjaama hoone (tehnoloogiliste seadmete ruum) rajamine reservuaaridega ühe katuse alla (36 m2)</t>
  </si>
  <si>
    <t>Veetöötlusseadmete paigaldamine (20 m3/h raud + mangaan)</t>
  </si>
  <si>
    <t>Veetorustiku De160, De110 rajamine kuni Instituudi tee olemasoleva veetorustikuni  PE De110</t>
  </si>
  <si>
    <t>Kanalisatsioonitorustiku (survetoru PE De63mm, isevoolne toru De160mm) rajamine kuni Instituudi tee olemasoleva isevoolse toruni De160 PVC</t>
  </si>
  <si>
    <t>Reservuaaride (2 x 150 m3) rajamine, ühe katuse all tehnoloogiliste seadmete ruumiga</t>
  </si>
  <si>
    <t>Tehnoloogiliste seadmete, pumpade, torustiku ja armatuuri paigaldamine, elekter-automaatika</t>
  </si>
  <si>
    <t>Territooriumi rajatised (teenindusplats, juurdepääsutee, piirdeaed, valgustus)</t>
  </si>
  <si>
    <t>Pos</t>
  </si>
  <si>
    <t>Survekanalisatsiooni PE De280mm rajamine</t>
  </si>
  <si>
    <t>Survekanalisatsiooni PE De355mm rajamine</t>
  </si>
  <si>
    <t>Survetorusiku hooldussõlme rajamine</t>
  </si>
  <si>
    <t>AS Tallinna Vesi reoveemõõdusõlme rajamine</t>
  </si>
  <si>
    <t>Harku aleviku VTJ</t>
  </si>
  <si>
    <t>Ranna-2 survekollektor</t>
  </si>
  <si>
    <t>Harku Rukkilille piirkond</t>
  </si>
  <si>
    <t>Isevoolse torustiku rajamine/rekonstrueerimine</t>
  </si>
  <si>
    <t>Veetorustiku rajamine/ rekonstrueerimine</t>
  </si>
  <si>
    <t>Survekanalisatsiooni rajamine/ rekonstrueerimine</t>
  </si>
  <si>
    <t>Veevarustuse majaühenduse rajamine/ rekonstrueerimine</t>
  </si>
  <si>
    <t>Kanalisatsiooni majaühendus rajamine/ rekonstrueerimine</t>
  </si>
  <si>
    <t>Tuletõrjehüdrandi rajamine</t>
  </si>
  <si>
    <t>Harku Pargitaguse elamupiirkond</t>
  </si>
  <si>
    <t>Veevarustuse majaühenduse rajamine</t>
  </si>
  <si>
    <t>Kanalisatsiooni majaühendus rajamine</t>
  </si>
  <si>
    <t>Reoveepumpla rajamine</t>
  </si>
  <si>
    <t>Kanalisatsioonitorustiku PE De63mm rajamine kuni Järvekalda tee olemasoleva isevoolse toruni</t>
  </si>
  <si>
    <t>Järvekalda VTJ</t>
  </si>
  <si>
    <t>Veetorustiku De160 rajamine kuni Järvekalda tee magistraaltoruni PE De225 ja ühendus Koduaia tee veetoruga</t>
  </si>
  <si>
    <t>Pillado VTJ</t>
  </si>
  <si>
    <t>Järvekalda rek</t>
  </si>
  <si>
    <t>Veevarustuse majaühenduse rekonstrueerimine</t>
  </si>
  <si>
    <t>Kanalisatsiooni majaühenduse rekonstrueerimine</t>
  </si>
  <si>
    <t>Vilipi RVP</t>
  </si>
  <si>
    <t>Reoveepumpla Q &lt; 5 l/s rajamine olemasoleva kogumismahuti piirkonda</t>
  </si>
  <si>
    <t>Survekanalisatsiooni PE De90 rajamine kuni puhastini</t>
  </si>
  <si>
    <t>Tööstuslikult valmistatud kompaktse bioloogilise reoveepuhasti R=150 IE rajamine koos selle kaugjuhtimise ja SCADA-ga sidumisega</t>
  </si>
  <si>
    <t>Merihobu alt.</t>
  </si>
  <si>
    <t>Survekanalisatsiooni PE De90 rajamine kuni eelvooluni</t>
  </si>
  <si>
    <t>Veevõrgu rekonstrueerimine</t>
  </si>
  <si>
    <t>Veetorustiku De63...110mm rajamine tänava-alal samas kaevikus isevoolse kanalisatsiooniga</t>
  </si>
  <si>
    <t>Kanalisatsioonivõrgu rekonstrueerimine</t>
  </si>
  <si>
    <t>Isevoolne kanalisatsiooni De315 rajamine</t>
  </si>
  <si>
    <t>Isevoolse kanalisatsiooni haruühenduste De160-De250 rajamine</t>
  </si>
  <si>
    <t>Sademeveekanalisatsiooni rajamine</t>
  </si>
  <si>
    <t>Isevoolne kanalisatsiooni De500 rajamine</t>
  </si>
  <si>
    <t>Isevoolne kanalisatsiooni De200-315 rajamine</t>
  </si>
  <si>
    <t>Reoveepumpla Ranna-1 lammutamine</t>
  </si>
  <si>
    <t>Loopealse puhasti</t>
  </si>
  <si>
    <t>Tööstuslikult valmistatud kompaktse bioloogilise reoveepuhasti R=75 IE rajamine koos selle kaugjuhtimise ja SCADA-ga sidumisega</t>
  </si>
  <si>
    <t>Heitvee immutusväljaku rajamine aktiivse pindalaga 290m2</t>
  </si>
  <si>
    <t>Survekanalisatsioonitorustike ümberühendamine reoveepuhastisse ja olemasoleva kogumismahuti likvideerimine</t>
  </si>
  <si>
    <t>Loopealse survetoru.</t>
  </si>
  <si>
    <t>Data</t>
  </si>
  <si>
    <t>Allika PK</t>
  </si>
  <si>
    <t>Hinnapakkumine</t>
  </si>
  <si>
    <t>Allika VTJ-le C-V asenduspuurkaevu rajamine ja selle ühendamine tehnosüsteemidega</t>
  </si>
  <si>
    <t>C-V puurkaevpumpla rajamine ja selle ühendamine olemasoleva veetorustikuga</t>
  </si>
  <si>
    <t>RVP-Merihobu-Alt.2</t>
  </si>
  <si>
    <t>RVP-Loopealse-Alt.2a</t>
  </si>
  <si>
    <t>RVP-Otsa-Mikko-Alt.2</t>
  </si>
  <si>
    <t>Veduri PK</t>
  </si>
  <si>
    <t>Maksumus, EUR</t>
  </si>
  <si>
    <t>LA</t>
  </si>
  <si>
    <t>PA</t>
  </si>
  <si>
    <t>50% projekti eelarvest Starnumile sobivale variandile</t>
  </si>
  <si>
    <t>Veemõõdukevude rajamine</t>
  </si>
  <si>
    <t>Reoveemõõdukaevude rajamine</t>
  </si>
  <si>
    <t>Kokku LA</t>
  </si>
  <si>
    <t>Kokku PA</t>
  </si>
  <si>
    <t>ID</t>
  </si>
  <si>
    <t>Veduri tee ja Veduri põik uue puurkaevu rajamine</t>
  </si>
  <si>
    <t>Loopealse ja Lootaguse piirkonna reoveepuhasti rajamine</t>
  </si>
  <si>
    <t>Pikajalised investeeringud</t>
  </si>
  <si>
    <t>Maksumus kokku</t>
  </si>
  <si>
    <t>Sõrve (Vilipi) reoveepuhasti rajamine</t>
  </si>
  <si>
    <t>Harku valla ÜVK rajamismaksumuste hinnangu kalkulatsioon</t>
  </si>
  <si>
    <t>Ehitus-maksumus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</si>
</sst>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0.0"/>
    <numFmt numFmtId="180" formatCode="0.0000"/>
    <numFmt numFmtId="181" formatCode="0.000"/>
    <numFmt numFmtId="182" formatCode="0.00000"/>
    <numFmt numFmtId="183" formatCode="#,##0.000"/>
    <numFmt numFmtId="184" formatCode="#,##0.0000"/>
    <numFmt numFmtId="185" formatCode="#,##0.00000"/>
    <numFmt numFmtId="186" formatCode="[$-425]d\.\ mmmm\ yyyy&quot;. a.&quot;"/>
    <numFmt numFmtId="187" formatCode="&quot;Jah&quot;;&quot;Jah&quot;;&quot;Ei&quot;"/>
    <numFmt numFmtId="188" formatCode="&quot;Tõene&quot;;&quot;Tõene&quot;;&quot;Väär&quot;"/>
    <numFmt numFmtId="189" formatCode="&quot;Sees&quot;;&quot;Sees&quot;;&quot;Väljas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19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6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justify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NumberFormat="1" applyBorder="1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184" fontId="0" fillId="34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2" fillId="0" borderId="27" xfId="0" applyFont="1" applyBorder="1" applyAlignment="1">
      <alignment wrapText="1"/>
    </xf>
    <xf numFmtId="3" fontId="2" fillId="0" borderId="27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wrapText="1"/>
    </xf>
    <xf numFmtId="3" fontId="0" fillId="0" borderId="28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29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35" borderId="29" xfId="0" applyFont="1" applyFill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2" fillId="36" borderId="33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0" fontId="2" fillId="36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center"/>
    </xf>
    <xf numFmtId="0" fontId="2" fillId="36" borderId="39" xfId="0" applyFont="1" applyFill="1" applyBorder="1" applyAlignment="1">
      <alignment/>
    </xf>
    <xf numFmtId="0" fontId="2" fillId="36" borderId="36" xfId="0" applyFont="1" applyFill="1" applyBorder="1" applyAlignment="1">
      <alignment/>
    </xf>
    <xf numFmtId="0" fontId="2" fillId="36" borderId="37" xfId="0" applyFont="1" applyFill="1" applyBorder="1" applyAlignment="1">
      <alignment/>
    </xf>
    <xf numFmtId="4" fontId="0" fillId="36" borderId="40" xfId="0" applyNumberFormat="1" applyFont="1" applyFill="1" applyBorder="1" applyAlignment="1">
      <alignment/>
    </xf>
    <xf numFmtId="4" fontId="2" fillId="36" borderId="41" xfId="0" applyNumberFormat="1" applyFont="1" applyFill="1" applyBorder="1" applyAlignment="1">
      <alignment horizontal="center"/>
    </xf>
    <xf numFmtId="0" fontId="2" fillId="36" borderId="42" xfId="0" applyFont="1" applyFill="1" applyBorder="1" applyAlignment="1">
      <alignment horizontal="center"/>
    </xf>
    <xf numFmtId="0" fontId="2" fillId="36" borderId="43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0" fillId="36" borderId="44" xfId="0" applyFont="1" applyFill="1" applyBorder="1" applyAlignment="1">
      <alignment/>
    </xf>
    <xf numFmtId="0" fontId="0" fillId="36" borderId="44" xfId="0" applyFont="1" applyFill="1" applyBorder="1" applyAlignment="1">
      <alignment wrapText="1"/>
    </xf>
    <xf numFmtId="4" fontId="0" fillId="36" borderId="28" xfId="0" applyNumberFormat="1" applyFont="1" applyFill="1" applyBorder="1" applyAlignment="1">
      <alignment/>
    </xf>
    <xf numFmtId="4" fontId="0" fillId="36" borderId="45" xfId="0" applyNumberFormat="1" applyFont="1" applyFill="1" applyBorder="1" applyAlignment="1">
      <alignment/>
    </xf>
    <xf numFmtId="4" fontId="0" fillId="36" borderId="12" xfId="0" applyNumberFormat="1" applyFont="1" applyFill="1" applyBorder="1" applyAlignment="1">
      <alignment/>
    </xf>
    <xf numFmtId="4" fontId="0" fillId="36" borderId="46" xfId="0" applyNumberFormat="1" applyFont="1" applyFill="1" applyBorder="1" applyAlignment="1">
      <alignment/>
    </xf>
    <xf numFmtId="4" fontId="0" fillId="36" borderId="47" xfId="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4" fontId="0" fillId="36" borderId="48" xfId="0" applyNumberFormat="1" applyFont="1" applyFill="1" applyBorder="1" applyAlignment="1">
      <alignment/>
    </xf>
    <xf numFmtId="4" fontId="0" fillId="36" borderId="33" xfId="0" applyNumberFormat="1" applyFont="1" applyFill="1" applyBorder="1" applyAlignment="1">
      <alignment/>
    </xf>
    <xf numFmtId="4" fontId="0" fillId="36" borderId="49" xfId="0" applyNumberFormat="1" applyFont="1" applyFill="1" applyBorder="1" applyAlignment="1">
      <alignment/>
    </xf>
    <xf numFmtId="4" fontId="0" fillId="36" borderId="39" xfId="0" applyNumberFormat="1" applyFont="1" applyFill="1" applyBorder="1" applyAlignment="1">
      <alignment/>
    </xf>
    <xf numFmtId="4" fontId="0" fillId="36" borderId="36" xfId="0" applyNumberFormat="1" applyFont="1" applyFill="1" applyBorder="1" applyAlignment="1">
      <alignment/>
    </xf>
    <xf numFmtId="4" fontId="0" fillId="36" borderId="37" xfId="0" applyNumberFormat="1" applyFont="1" applyFill="1" applyBorder="1" applyAlignment="1">
      <alignment/>
    </xf>
    <xf numFmtId="4" fontId="0" fillId="36" borderId="38" xfId="0" applyNumberFormat="1" applyFont="1" applyFill="1" applyBorder="1" applyAlignment="1">
      <alignment/>
    </xf>
    <xf numFmtId="4" fontId="0" fillId="36" borderId="0" xfId="0" applyNumberFormat="1" applyFont="1" applyFill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178" fontId="2" fillId="36" borderId="10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vertical="center" wrapText="1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178" fontId="0" fillId="3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2" xfId="0" applyFont="1" applyFill="1" applyBorder="1" applyAlignment="1">
      <alignment/>
    </xf>
    <xf numFmtId="178" fontId="0" fillId="36" borderId="12" xfId="0" applyNumberFormat="1" applyFont="1" applyFill="1" applyBorder="1" applyAlignment="1">
      <alignment/>
    </xf>
    <xf numFmtId="178" fontId="2" fillId="36" borderId="10" xfId="0" applyNumberFormat="1" applyFont="1" applyFill="1" applyBorder="1" applyAlignment="1">
      <alignment horizontal="center"/>
    </xf>
    <xf numFmtId="0" fontId="2" fillId="36" borderId="0" xfId="0" applyFont="1" applyFill="1" applyAlignment="1">
      <alignment/>
    </xf>
    <xf numFmtId="178" fontId="2" fillId="36" borderId="10" xfId="0" applyNumberFormat="1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178" fontId="0" fillId="36" borderId="0" xfId="0" applyNumberFormat="1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178" fontId="0" fillId="36" borderId="0" xfId="0" applyNumberFormat="1" applyFont="1" applyFill="1" applyAlignment="1">
      <alignment/>
    </xf>
    <xf numFmtId="178" fontId="0" fillId="36" borderId="0" xfId="0" applyNumberFormat="1" applyFont="1" applyFill="1" applyAlignment="1">
      <alignment horizontal="center"/>
    </xf>
    <xf numFmtId="0" fontId="2" fillId="36" borderId="0" xfId="0" applyFont="1" applyFill="1" applyAlignment="1">
      <alignment horizontal="left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left" wrapText="1"/>
    </xf>
    <xf numFmtId="0" fontId="0" fillId="36" borderId="0" xfId="0" applyFill="1" applyAlignment="1">
      <alignment wrapText="1"/>
    </xf>
    <xf numFmtId="3" fontId="0" fillId="36" borderId="0" xfId="0" applyNumberFormat="1" applyFill="1" applyAlignment="1">
      <alignment/>
    </xf>
    <xf numFmtId="3" fontId="0" fillId="36" borderId="0" xfId="0" applyNumberFormat="1" applyFill="1" applyAlignment="1">
      <alignment horizontal="center"/>
    </xf>
    <xf numFmtId="3" fontId="0" fillId="36" borderId="0" xfId="0" applyNumberFormat="1" applyFill="1" applyAlignment="1">
      <alignment horizontal="right"/>
    </xf>
    <xf numFmtId="0" fontId="2" fillId="36" borderId="36" xfId="0" applyFont="1" applyFill="1" applyBorder="1" applyAlignment="1">
      <alignment horizontal="center" wrapText="1"/>
    </xf>
    <xf numFmtId="0" fontId="2" fillId="36" borderId="50" xfId="0" applyFont="1" applyFill="1" applyBorder="1" applyAlignment="1">
      <alignment horizontal="center" wrapText="1"/>
    </xf>
    <xf numFmtId="0" fontId="2" fillId="36" borderId="37" xfId="0" applyFont="1" applyFill="1" applyBorder="1" applyAlignment="1">
      <alignment horizontal="center" wrapText="1"/>
    </xf>
    <xf numFmtId="3" fontId="2" fillId="36" borderId="37" xfId="0" applyNumberFormat="1" applyFont="1" applyFill="1" applyBorder="1" applyAlignment="1">
      <alignment horizontal="center" wrapText="1"/>
    </xf>
    <xf numFmtId="3" fontId="2" fillId="36" borderId="38" xfId="0" applyNumberFormat="1" applyFont="1" applyFill="1" applyBorder="1" applyAlignment="1">
      <alignment horizontal="center" wrapText="1"/>
    </xf>
    <xf numFmtId="0" fontId="2" fillId="36" borderId="0" xfId="0" applyFont="1" applyFill="1" applyAlignment="1">
      <alignment horizontal="center" wrapText="1"/>
    </xf>
    <xf numFmtId="0" fontId="0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left" wrapText="1"/>
    </xf>
    <xf numFmtId="0" fontId="0" fillId="36" borderId="10" xfId="0" applyFont="1" applyFill="1" applyBorder="1" applyAlignment="1">
      <alignment horizontal="left" wrapText="1"/>
    </xf>
    <xf numFmtId="3" fontId="0" fillId="36" borderId="10" xfId="0" applyNumberFormat="1" applyFill="1" applyBorder="1" applyAlignment="1">
      <alignment horizontal="center"/>
    </xf>
    <xf numFmtId="3" fontId="5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right"/>
    </xf>
    <xf numFmtId="0" fontId="5" fillId="36" borderId="10" xfId="0" applyFont="1" applyFill="1" applyBorder="1" applyAlignment="1">
      <alignment horizontal="center"/>
    </xf>
    <xf numFmtId="3" fontId="0" fillId="36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numFmt numFmtId="3" formatCode="#,##0"/>
      <border/>
    </dxf>
    <dxf>
      <alignment wrapText="1" readingOrder="0"/>
      <border/>
    </dxf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K1030" sheet="Loetelu"/>
  </cacheSource>
  <cacheFields count="11">
    <cacheField name="Piirkond">
      <sharedItems containsBlank="1" containsMixedTypes="0" count="19">
        <s v="Harku"/>
        <m/>
        <s v="Vääna"/>
        <s v="Kumna-Tut."/>
        <s v="Tiskre"/>
        <s v="Sõrve tee"/>
        <s v="Vahi"/>
        <s v="Tabasalu"/>
        <s v="Naage"/>
        <s v="Harkujärve"/>
        <s v="Rannamõisa"/>
        <s v="Tallinn"/>
        <s v="Otsa-Mikko"/>
        <s v="Loopealse"/>
        <s v="Kumna-Tut"/>
        <s v="Veskivahi"/>
        <s v="Alajaama tee"/>
        <s v="Merihobu"/>
        <s v="Tallinna Vesi"/>
      </sharedItems>
    </cacheField>
    <cacheField name="Projekt">
      <sharedItems containsBlank="1" containsMixedTypes="0" count="57">
        <s v="Lääne pool"/>
        <m/>
        <s v="Instituudi tee"/>
        <s v="Ida pool"/>
        <s v="Metsa tee-orig"/>
        <s v="VTJ-Harku"/>
        <s v="Olemasolev"/>
        <s v="RVP-Vääna"/>
        <s v="Tutermaa"/>
        <s v="Järvekalda"/>
        <s v="Hobuseraua"/>
        <s v="Tammiaugu"/>
        <s v="VTJ-Järvekalda"/>
        <s v="VTJ-Järvekalda-torud"/>
        <s v="VTJ-Pillado"/>
        <s v="RVP-Merihobu"/>
        <s v="RVP-Merihobu-Alt.2"/>
        <s v="RVP-Loopealse"/>
        <s v="RVP-Loopealse-Alt.2a"/>
        <s v="RVP-Otsa-Mikko"/>
        <s v="RVP-Otsa-Mikko-Alt.2"/>
        <s v="RVP-Veskivahi"/>
        <s v="RVP-Veskivahi-Alt"/>
        <s v="Alajaama tee"/>
        <s v="Alajaama tee-PK-alt"/>
        <s v="RP-Mere"/>
        <s v="Nooruse"/>
        <s v="Tabasalu-Tallinn"/>
        <s v="Sarapuu-Saare"/>
        <s v="Lucca"/>
        <s v="Pällo"/>
        <s v="Pällo-RP"/>
        <s v="Naage veetorustikud"/>
        <s v="Naage VTJ"/>
        <s v="Naage kanalisatsioon"/>
        <s v="Veduri PK"/>
        <s v="Allika PK"/>
        <s v="VMK-Tabasalu-Tiskre"/>
        <s v="Saare"/>
        <s v="Rukkilille"/>
        <s v="VTJ"/>
        <s v="Veduri"/>
        <s v="Alajaama tee-PK"/>
        <s v="Veetorustiku rek"/>
        <s v="RVP-Merihobu-Alt"/>
        <s v="RVP-Otsa-Mikko-Alt"/>
        <s v="RVP-Otsa-Mikko-Alt2"/>
        <s v="RVP-Loopealse-toru1"/>
        <s v="VMK"/>
        <s v="RVP"/>
        <s v="Metsa tee"/>
        <s v="RVP-Merihobu-toru"/>
        <s v="RVP-Loopealse-Alt"/>
        <s v="Sarapuu"/>
        <s v="Pällo-K1"/>
        <s v="Metsa tee-ALT"/>
        <s v="RVP-Loopealse-Alt1"/>
      </sharedItems>
    </cacheField>
    <cacheField name="T??p">
      <sharedItems containsMixedTypes="0"/>
    </cacheField>
    <cacheField name="Valdkond">
      <sharedItems containsBlank="1" containsMixedTypes="0" count="21">
        <s v="K laiendus"/>
        <s v="V rek"/>
        <s v="K rek"/>
        <m/>
        <s v="V laiendus"/>
        <s v="SK"/>
        <s v="Krek"/>
        <s v="RVP-alt31"/>
        <s v="RVP-alt3"/>
        <s v="VTJ"/>
        <s v="RVP-alt"/>
        <s v="Muu"/>
        <s v="RVP-alt2"/>
        <s v="RVPt"/>
        <s v="SK rek"/>
        <s v="RVP-alt1"/>
        <s v="Vrek"/>
        <s v="VTJ-Alt"/>
        <s v="RVP-alt32"/>
        <s v="RVP"/>
        <s v="K laiendusALT"/>
      </sharedItems>
    </cacheField>
    <cacheField name="Kood">
      <sharedItems containsMixedTypes="1" containsNumber="1" containsInteger="1"/>
    </cacheField>
    <cacheField name="Nimetus">
      <sharedItems containsBlank="1" containsMixedTypes="0" count="72">
        <s v="Isevoolse torustiku rajamine"/>
        <s v="Kanalisatsiooni majaühendus (sh tarnetoru, ühendus tänavatorustikuga, liitumiskaev)"/>
        <s v="Survekanalisatsiooni rajamine"/>
        <s v="Reoveepumpla Q &lt; 5 l/s"/>
        <s v="Veetorustiku rajamine"/>
        <s v="Veevarustuse majaühendus (sh tarnetoru, ühendus tänavatorustikuga, maakraan)"/>
        <s v="Tuletõrjehüdrant"/>
        <s v="Isevoolse torustiku rekonstrueerimine"/>
        <m/>
        <s v="Reoveepumpla Q = 5 l/s"/>
        <s v="Veetorustiku rekonstrueerimine"/>
        <s v="Survekanalisatsiooni majaühendus (sh tarnetoru, ühendus tänavatorustikuga, maakraan"/>
        <s v="C-V puurkaevu rajamine"/>
        <s v="Üheastmelise pumpla tehnoloogia (lisaks II astmele)"/>
        <s v="Veetöötlus (mangaan+raud)"/>
        <s v="Puhtaveereservuaar (201 + m3)"/>
        <s v="Teise astme pumpla tehnoloogia (kuni 60 m3/h)"/>
        <s v="Tehnoloogilise hoone rajamine"/>
        <s v="Olemasolevate rajatiste lammutamine"/>
        <s v="VTJ territooriumi rajatised (piirdeaed, plats, valgustus)"/>
        <s v="Biotiikide puhastamine settest"/>
        <s v="Survekanalisatsiooni rekonstrueerimine"/>
        <s v="Territooriumi rajatised (piirdeaed, plats, valgustus)"/>
        <s v="Reoveepuhasti Q = 100-1000 IE tehnoloogiline osa koos paigaldusega"/>
        <s v="Reoveepuhasti kaugjuhtimine ja SCADA-ga sidumine"/>
        <s v="Reoveepuhasti territooriumi rajatised (piirdeaed, plats, valgustus)"/>
        <s v="Reoveepuhasti Q&lt;100 IE  tehnoloogiline osa koos paigaldusega"/>
        <s v="Heitvee immutusväljaku rajamine muldesse"/>
        <s v="Vana reoveepuhasti likvideerimine"/>
        <s v="Reoveepumpla pumbade asendus ja sidumine SCADA-ga"/>
        <s v="üheastmelise pumpla tehnoloogia"/>
        <s v="Survetõstepumpla rajamine"/>
        <s v="Pumpade asendamine"/>
        <s v="Reoveepumpla Ranna 1 lammutamine"/>
        <s v="Sademevee ja drenaaži rajamine"/>
        <s v="Üldkulud"/>
        <s v="Hoolduskaevud"/>
        <s v="RP-Ojakääru survetoru PE De110 ümberühendamine Oja tee isevoolsesse kaevu ja kaevu rekonstrueerimine"/>
        <s v="RP-J.Venteri tee survetoru 2x100met ümberühendamine proj. torustiku peale"/>
        <s v="Puhtaveereservuaar (50 - 200 m3)"/>
        <s v="Teise astme pumpla tehnoloogia (kuni 45 m3/h)"/>
        <s v="Juurdesõidutee või platsi rajamine (kruusakattega)"/>
        <s v="C-V puurkaevpumpla rajamine ja selle ühendamine olemasoleva veetorustikuga"/>
        <s v="Allika VTJ-le C-V asenduspuurkaevu rajamine ja selle ühendamine tehnosüsteemidega"/>
        <s v="Veemõõdukevude rajamine"/>
        <s v="Reoveemõõdukaevude rajamine"/>
        <s v="Juurdesõidutee ja/või platsi rajamine (asfaltkattega)"/>
        <s v="Survekanalisatsiooni  rajamine ühises kaevikus linnatingimustes"/>
        <s v="Survekanalistasiooni  rajamine ühises kaevikus linnatingimustes"/>
        <s v="Sadmevee ja drenaaži rajamine"/>
        <s v="Teise astme pumpla tehnoloogia (30-45 m3/h)"/>
        <s v="Survekanalisatsiooni rajamine eraldi kaevikus linnatingimustes"/>
        <s v="Survekanalistasiooni rajamine eraldi kaevikus linnatingimustes"/>
        <s v="Tabasalu-Tiskre-Harkujärve piirkonna vee ja reoveemõõdukaevude-siibrite rajamine"/>
        <s v="Tabasalu-Tiskre-Harkujärve piirkonna vee- ja reoveemõõdukaevude-siibrite rajamine AS Tallinna Vesi piiritluspunktidesse"/>
        <s v="Survekanalisatsiooni rajamine eraldi kaevikus põllumaal"/>
        <s v="Piirdeaed (terasvõrk H=2m)"/>
        <s v="Isevoolse torustiku rekonstrueerimine kinnisel meetodil"/>
        <s v="Survekanalisatsiooni rajamine eraldi kaevikus"/>
        <s v="Reoveepumola Ranna 1 lammutamine"/>
        <s v="Veetorustiku rajamine eraldi kaevikus linnatingimustes"/>
        <s v="Veetorustiku rajamine ühises kaevikus linnatingimustes"/>
        <s v="Isevoolse torustiku rajamine ühises kaevikus linnatingimustes"/>
        <s v="Survekanalisatsiooni  rajamine ühises kaevikus"/>
        <s v="Tabasalu-Tiskre-Harkujärve piirkonna vee- ja reoveemõõdukaevude-siibrite rajamine"/>
        <s v="Kanalisatsiooni majaühendus (sh tarnetoru, ühendus tänavatorusikuga, liitumiskaev)"/>
        <s v="puurkaevu puurimine"/>
        <s v="Isevoolse torustiku rajamine ühises kaevikus"/>
        <s v="Asfaltkatte taastamine (1-kihiline)"/>
        <s v="Veetorustiku rajamine eraldi kaevikus"/>
        <s v="Veetorustiku rajamine ühises kaevikus"/>
        <s v="Tabasalu-Tiskre piirkonna vee ja reoveemõõdukaevude-siibrite rajamine"/>
      </sharedItems>
    </cacheField>
    <cacheField name="M?rkus">
      <sharedItems containsMixedTypes="0"/>
    </cacheField>
    <cacheField name="Kogus">
      <sharedItems containsMixedTypes="1" containsNumber="1" containsInteger="1"/>
    </cacheField>
    <cacheField name="?hik">
      <sharedItems containsBlank="1" containsMixedTypes="1" containsNumber="1" containsInteger="1" count="10">
        <s v="m"/>
        <s v="tk"/>
        <s v="kmpl"/>
        <m/>
        <s v="m3/h"/>
        <s v="m3"/>
        <s v="m2"/>
        <n v="1"/>
        <s v="ie"/>
        <s v="lmpl"/>
      </sharedItems>
    </cacheField>
    <cacheField name="?hiku hind">
      <sharedItems containsMixedTypes="1" containsNumber="1" containsInteger="1"/>
    </cacheField>
    <cacheField name="Maksumu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subtotalHiddenItems="1" itemPrintTitles="1" compactData="0" updatedVersion="2" indent="0" showMemberPropertyTips="1">
  <location ref="A3:H38" firstHeaderRow="1" firstDataRow="2" firstDataCol="2"/>
  <pivotFields count="11">
    <pivotField axis="axisRow" compact="0" outline="0" subtotalTop="0" showAll="0" defaultSubtotal="0">
      <items count="19">
        <item h="1" x="1"/>
        <item x="11"/>
        <item x="7"/>
        <item x="0"/>
        <item x="4"/>
        <item x="3"/>
        <item x="6"/>
        <item x="2"/>
        <item x="5"/>
        <item m="1" x="14"/>
        <item m="1" x="17"/>
        <item m="1" x="13"/>
        <item m="1" x="12"/>
        <item m="1" x="15"/>
        <item m="1" x="16"/>
        <item m="1" x="18"/>
        <item x="8"/>
        <item x="9"/>
        <item x="10"/>
      </items>
    </pivotField>
    <pivotField axis="axisRow" compact="0" outline="0" subtotalTop="0" showAll="0" defaultSubtotal="0">
      <items count="57">
        <item x="6"/>
        <item x="23"/>
        <item x="10"/>
        <item m="1" x="40"/>
        <item m="1" x="39"/>
        <item m="1" x="50"/>
        <item x="2"/>
        <item x="9"/>
        <item m="1" x="55"/>
        <item x="25"/>
        <item m="1" x="49"/>
        <item x="11"/>
        <item h="1" x="1"/>
        <item x="27"/>
        <item h="1" x="4"/>
        <item x="29"/>
        <item x="5"/>
        <item x="14"/>
        <item x="15"/>
        <item m="1" x="44"/>
        <item m="1" x="51"/>
        <item x="16"/>
        <item x="17"/>
        <item m="1" x="52"/>
        <item m="1" x="47"/>
        <item x="18"/>
        <item x="19"/>
        <item x="21"/>
        <item x="8"/>
        <item m="1" x="48"/>
        <item x="7"/>
        <item x="37"/>
        <item m="1" x="45"/>
        <item h="1" x="22"/>
        <item m="1" x="42"/>
        <item h="1" x="24"/>
        <item x="26"/>
        <item m="1" x="53"/>
        <item m="1" x="38"/>
        <item x="12"/>
        <item x="13"/>
        <item m="1" x="43"/>
        <item x="28"/>
        <item x="0"/>
        <item x="3"/>
        <item x="30"/>
        <item m="1" x="54"/>
        <item m="1" x="56"/>
        <item h="1" x="31"/>
        <item x="32"/>
        <item x="33"/>
        <item x="34"/>
        <item m="1" x="41"/>
        <item x="36"/>
        <item m="1" x="46"/>
        <item x="20"/>
        <item x="35"/>
      </items>
    </pivotField>
    <pivotField compact="0" outline="0" subtotalTop="0" showAll="0" defaultSubtotal="0"/>
    <pivotField axis="axisCol" compact="0" outline="0" subtotalTop="0" showAll="0" defaultSubtotal="0">
      <items count="21">
        <item h="1" x="3"/>
        <item x="4"/>
        <item x="0"/>
        <item x="1"/>
        <item x="2"/>
        <item m="1" x="20"/>
        <item m="1" x="9"/>
        <item m="1" x="14"/>
        <item m="1" x="19"/>
        <item m="1" x="10"/>
        <item m="1" x="12"/>
        <item m="1" x="8"/>
        <item m="1" x="7"/>
        <item m="1" x="18"/>
        <item m="1" x="15"/>
        <item m="1" x="17"/>
        <item m="1" x="13"/>
        <item x="5"/>
        <item m="1" x="11"/>
        <item m="1" x="16"/>
        <item m="1" x="6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0"/>
    <field x="1"/>
  </rowFields>
  <rowItems count="34">
    <i>
      <x v="1"/>
      <x v="31"/>
    </i>
    <i>
      <x v="2"/>
      <x v="9"/>
    </i>
    <i r="1">
      <x v="13"/>
    </i>
    <i r="1">
      <x v="15"/>
    </i>
    <i r="1">
      <x v="36"/>
    </i>
    <i r="1">
      <x v="42"/>
    </i>
    <i r="1">
      <x v="45"/>
    </i>
    <i>
      <x v="3"/>
      <x v="6"/>
    </i>
    <i r="1">
      <x v="16"/>
    </i>
    <i r="1">
      <x v="43"/>
    </i>
    <i r="1">
      <x v="44"/>
    </i>
    <i>
      <x v="4"/>
      <x v="2"/>
    </i>
    <i r="1">
      <x v="7"/>
    </i>
    <i r="1">
      <x v="11"/>
    </i>
    <i r="1">
      <x v="17"/>
    </i>
    <i r="1">
      <x v="39"/>
    </i>
    <i r="1">
      <x v="40"/>
    </i>
    <i>
      <x v="5"/>
      <x v="1"/>
    </i>
    <i r="1">
      <x v="28"/>
    </i>
    <i>
      <x v="6"/>
      <x v="27"/>
    </i>
    <i>
      <x v="7"/>
      <x/>
    </i>
    <i r="1">
      <x v="30"/>
    </i>
    <i>
      <x v="8"/>
      <x v="18"/>
    </i>
    <i r="1">
      <x v="21"/>
    </i>
    <i r="1">
      <x v="22"/>
    </i>
    <i r="1">
      <x v="25"/>
    </i>
    <i r="1">
      <x v="26"/>
    </i>
    <i r="1">
      <x v="55"/>
    </i>
    <i>
      <x v="16"/>
      <x v="49"/>
    </i>
    <i r="1">
      <x v="50"/>
    </i>
    <i r="1">
      <x v="51"/>
    </i>
    <i>
      <x v="17"/>
      <x v="56"/>
    </i>
    <i>
      <x v="18"/>
      <x v="53"/>
    </i>
    <i t="grand">
      <x/>
    </i>
  </rowItems>
  <colFields count="1">
    <field x="3"/>
  </colFields>
  <colItems count="6">
    <i>
      <x v="1"/>
    </i>
    <i>
      <x v="2"/>
    </i>
    <i>
      <x v="3"/>
    </i>
    <i>
      <x v="4"/>
    </i>
    <i>
      <x v="17"/>
    </i>
    <i t="grand">
      <x/>
    </i>
  </colItems>
  <dataFields count="1">
    <dataField name="Sum of Maksumus" fld="10" baseField="0" baseItem="0" numFmtId="3"/>
  </dataFields>
  <formats count="5">
    <format dxfId="0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 dataOnly="0" labelOnly="1"/>
    </format>
    <format dxfId="1">
      <pivotArea outline="0" fieldPosition="255" dataOnly="0" field="5" labelOnly="1" type="button"/>
    </format>
    <format dxfId="1">
      <pivotArea outline="0" fieldPosition="0" dataOnly="0" grandRow="1" labelOnly="1"/>
    </format>
    <format dxfId="2">
      <pivotArea outline="0" fieldPosition="255" dataOnly="0" field="8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subtotalHiddenItems="1" rowGrandTotals="0" itemPrintTitles="1" compactData="0" updatedVersion="2" indent="0" showMemberPropertyTips="1">
  <location ref="A3:F147" firstHeaderRow="1" firstDataRow="2" firstDataCol="4"/>
  <pivotFields count="11">
    <pivotField axis="axisRow" compact="0" outline="0" subtotalTop="0" showAll="0" defaultSubtotal="0">
      <items count="19">
        <item h="1" x="1"/>
        <item x="11"/>
        <item x="7"/>
        <item x="0"/>
        <item x="4"/>
        <item x="3"/>
        <item x="6"/>
        <item x="2"/>
        <item x="5"/>
        <item m="1" x="14"/>
        <item m="1" x="17"/>
        <item m="1" x="13"/>
        <item m="1" x="12"/>
        <item m="1" x="15"/>
        <item m="1" x="16"/>
        <item m="1" x="18"/>
        <item x="8"/>
        <item x="9"/>
        <item x="10"/>
      </items>
    </pivotField>
    <pivotField axis="axisRow" compact="0" outline="0" subtotalTop="0" showAll="0" defaultSubtotal="0">
      <items count="57">
        <item x="6"/>
        <item x="23"/>
        <item x="10"/>
        <item m="1" x="40"/>
        <item m="1" x="39"/>
        <item m="1" x="50"/>
        <item x="2"/>
        <item x="9"/>
        <item m="1" x="55"/>
        <item x="25"/>
        <item m="1" x="49"/>
        <item x="11"/>
        <item h="1" x="1"/>
        <item x="27"/>
        <item h="1" x="4"/>
        <item x="29"/>
        <item x="5"/>
        <item x="14"/>
        <item x="15"/>
        <item m="1" x="44"/>
        <item x="17"/>
        <item m="1" x="52"/>
        <item x="19"/>
        <item x="21"/>
        <item x="8"/>
        <item m="1" x="48"/>
        <item x="7"/>
        <item x="37"/>
        <item m="1" x="45"/>
        <item x="22"/>
        <item m="1" x="42"/>
        <item h="1" x="24"/>
        <item x="26"/>
        <item m="1" x="53"/>
        <item m="1" x="38"/>
        <item x="12"/>
        <item x="13"/>
        <item m="1" x="43"/>
        <item x="28"/>
        <item x="0"/>
        <item x="3"/>
        <item x="30"/>
        <item m="1" x="54"/>
        <item m="1" x="56"/>
        <item x="31"/>
        <item x="32"/>
        <item x="33"/>
        <item x="34"/>
        <item m="1" x="41"/>
        <item x="36"/>
        <item m="1" x="51"/>
        <item m="1" x="47"/>
        <item x="16"/>
        <item x="18"/>
        <item m="1" x="46"/>
        <item x="20"/>
        <item x="35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/>
    <pivotField axis="axisRow" compact="0" outline="0" subtotalTop="0" showAll="0" defaultSubtotal="0">
      <items count="72">
        <item m="1" x="56"/>
        <item x="3"/>
        <item x="6"/>
        <item h="1" x="8"/>
        <item m="1" x="61"/>
        <item m="1" x="62"/>
        <item m="1" x="48"/>
        <item m="1" x="52"/>
        <item m="1" x="65"/>
        <item x="5"/>
        <item x="10"/>
        <item x="7"/>
        <item x="21"/>
        <item m="1" x="66"/>
        <item x="15"/>
        <item m="1" x="50"/>
        <item x="14"/>
        <item x="17"/>
        <item x="13"/>
        <item m="1" x="46"/>
        <item m="1" x="68"/>
        <item m="1" x="57"/>
        <item x="1"/>
        <item m="1" x="60"/>
        <item x="11"/>
        <item m="1" x="47"/>
        <item m="1" x="51"/>
        <item x="23"/>
        <item x="24"/>
        <item x="25"/>
        <item x="26"/>
        <item x="28"/>
        <item x="29"/>
        <item m="1" x="55"/>
        <item m="1" x="67"/>
        <item m="1" x="63"/>
        <item m="1" x="58"/>
        <item m="1" x="70"/>
        <item m="1" x="69"/>
        <item x="30"/>
        <item x="20"/>
        <item x="31"/>
        <item x="32"/>
        <item m="1" x="59"/>
        <item x="36"/>
        <item x="37"/>
        <item x="38"/>
        <item x="12"/>
        <item x="16"/>
        <item x="41"/>
        <item x="9"/>
        <item x="18"/>
        <item x="2"/>
        <item x="4"/>
        <item x="0"/>
        <item x="33"/>
        <item x="27"/>
        <item x="22"/>
        <item m="1" x="71"/>
        <item m="1" x="53"/>
        <item m="1" x="64"/>
        <item x="19"/>
        <item m="1" x="49"/>
        <item x="35"/>
        <item x="34"/>
        <item x="39"/>
        <item x="40"/>
        <item x="42"/>
        <item x="43"/>
        <item m="1" x="54"/>
        <item x="44"/>
        <item x="45"/>
      </items>
    </pivotField>
    <pivotField compact="0" outline="0" subtotalTop="0" showAll="0"/>
    <pivotField dataField="1" compact="0" outline="0" subtotalTop="0" showAll="0"/>
    <pivotField axis="axisRow" compact="0" outline="0" subtotalTop="0" showAll="0">
      <items count="11">
        <item x="2"/>
        <item x="0"/>
        <item x="1"/>
        <item x="3"/>
        <item x="5"/>
        <item x="6"/>
        <item x="4"/>
        <item x="8"/>
        <item x="7"/>
        <item x="9"/>
        <item t="default"/>
      </items>
    </pivotField>
    <pivotField compact="0" outline="0" subtotalTop="0" showAll="0"/>
    <pivotField dataField="1" compact="0" outline="0" subtotalTop="0" showAll="0"/>
  </pivotFields>
  <rowFields count="4">
    <field x="0"/>
    <field x="1"/>
    <field x="5"/>
    <field x="8"/>
  </rowFields>
  <rowItems count="143">
    <i>
      <x v="1"/>
      <x v="27"/>
      <x v="70"/>
      <x/>
    </i>
    <i r="2">
      <x v="71"/>
      <x/>
    </i>
    <i>
      <x v="2"/>
      <x v="9"/>
      <x v="42"/>
      <x/>
    </i>
    <i r="2">
      <x v="52"/>
      <x v="1"/>
    </i>
    <i r="1">
      <x v="13"/>
      <x v="44"/>
      <x/>
    </i>
    <i r="2">
      <x v="45"/>
      <x/>
    </i>
    <i r="2">
      <x v="46"/>
      <x/>
    </i>
    <i r="2">
      <x v="52"/>
      <x v="1"/>
    </i>
    <i r="1">
      <x v="15"/>
      <x v="53"/>
      <x v="1"/>
    </i>
    <i r="1">
      <x v="32"/>
      <x v="11"/>
      <x v="1"/>
    </i>
    <i r="2">
      <x v="53"/>
      <x v="1"/>
    </i>
    <i r="2">
      <x v="55"/>
      <x/>
    </i>
    <i r="2">
      <x v="63"/>
      <x v="3"/>
    </i>
    <i r="2">
      <x v="64"/>
      <x v="1"/>
    </i>
    <i r="1">
      <x v="38"/>
      <x v="9"/>
      <x v="2"/>
    </i>
    <i r="2">
      <x v="53"/>
      <x v="1"/>
    </i>
    <i r="1">
      <x v="41"/>
      <x v="2"/>
      <x v="2"/>
    </i>
    <i r="2">
      <x v="9"/>
      <x v="2"/>
    </i>
    <i r="2">
      <x v="24"/>
      <x v="2"/>
    </i>
    <i r="2">
      <x v="52"/>
      <x v="1"/>
    </i>
    <i r="2">
      <x v="53"/>
      <x v="1"/>
    </i>
    <i r="1">
      <x v="44"/>
      <x v="22"/>
      <x v="2"/>
    </i>
    <i r="2">
      <x v="50"/>
      <x/>
    </i>
    <i r="2">
      <x v="52"/>
      <x v="1"/>
    </i>
    <i r="2">
      <x v="54"/>
      <x v="1"/>
    </i>
    <i>
      <x v="3"/>
      <x v="6"/>
      <x v="1"/>
      <x/>
    </i>
    <i r="2">
      <x v="2"/>
      <x v="2"/>
    </i>
    <i r="2">
      <x v="9"/>
      <x v="2"/>
    </i>
    <i r="2">
      <x v="22"/>
      <x v="2"/>
    </i>
    <i r="2">
      <x v="50"/>
      <x/>
    </i>
    <i r="2">
      <x v="52"/>
      <x v="1"/>
    </i>
    <i r="2">
      <x v="53"/>
      <x v="1"/>
    </i>
    <i r="2">
      <x v="54"/>
      <x v="1"/>
    </i>
    <i r="1">
      <x v="16"/>
      <x v="14"/>
      <x v="4"/>
    </i>
    <i r="2">
      <x v="16"/>
      <x v="6"/>
    </i>
    <i r="2">
      <x v="17"/>
      <x v="5"/>
    </i>
    <i r="2">
      <x v="18"/>
      <x/>
    </i>
    <i r="2">
      <x v="47"/>
      <x v="2"/>
    </i>
    <i r="2">
      <x v="48"/>
      <x/>
    </i>
    <i r="2">
      <x v="51"/>
      <x/>
    </i>
    <i r="2">
      <x v="52"/>
      <x v="1"/>
    </i>
    <i r="2">
      <x v="53"/>
      <x v="1"/>
    </i>
    <i r="2">
      <x v="54"/>
      <x v="1"/>
    </i>
    <i r="2">
      <x v="61"/>
      <x v="8"/>
    </i>
    <i r="1">
      <x v="39"/>
      <x v="1"/>
      <x/>
    </i>
    <i r="2">
      <x v="2"/>
      <x v="2"/>
    </i>
    <i r="2">
      <x v="9"/>
      <x v="2"/>
    </i>
    <i r="2">
      <x v="11"/>
      <x v="1"/>
    </i>
    <i r="2">
      <x v="22"/>
      <x v="2"/>
    </i>
    <i r="2">
      <x v="52"/>
      <x v="1"/>
    </i>
    <i r="2">
      <x v="53"/>
      <x v="1"/>
    </i>
    <i r="2">
      <x v="54"/>
      <x v="1"/>
    </i>
    <i r="1">
      <x v="40"/>
      <x v="2"/>
      <x v="2"/>
    </i>
    <i r="2">
      <x v="9"/>
      <x v="2"/>
    </i>
    <i r="2">
      <x v="10"/>
      <x v="1"/>
    </i>
    <i r="2">
      <x v="11"/>
      <x v="1"/>
    </i>
    <i r="2">
      <x v="22"/>
      <x v="2"/>
    </i>
    <i r="2">
      <x v="24"/>
      <x v="2"/>
    </i>
    <i r="2">
      <x v="52"/>
      <x v="1"/>
    </i>
    <i>
      <x v="4"/>
      <x v="2"/>
      <x v="1"/>
      <x/>
    </i>
    <i r="2">
      <x v="52"/>
      <x v="1"/>
    </i>
    <i r="2">
      <x v="53"/>
      <x v="1"/>
    </i>
    <i r="2">
      <x v="54"/>
      <x v="1"/>
    </i>
    <i r="1">
      <x v="7"/>
      <x v="9"/>
      <x v="2"/>
    </i>
    <i r="2">
      <x v="10"/>
      <x v="1"/>
    </i>
    <i r="2">
      <x v="11"/>
      <x v="1"/>
    </i>
    <i r="2">
      <x v="12"/>
      <x v="1"/>
    </i>
    <i r="2">
      <x v="22"/>
      <x v="2"/>
    </i>
    <i r="1">
      <x v="11"/>
      <x v="9"/>
      <x v="2"/>
    </i>
    <i r="2">
      <x v="24"/>
      <x v="2"/>
    </i>
    <i r="2">
      <x v="52"/>
      <x v="1"/>
    </i>
    <i r="2">
      <x v="53"/>
      <x v="1"/>
    </i>
    <i r="1">
      <x v="17"/>
      <x v="14"/>
      <x v="4"/>
    </i>
    <i r="2">
      <x v="16"/>
      <x v="6"/>
    </i>
    <i r="2">
      <x v="17"/>
      <x v="5"/>
    </i>
    <i r="2">
      <x v="18"/>
      <x/>
    </i>
    <i r="2">
      <x v="48"/>
      <x/>
    </i>
    <i r="2">
      <x v="51"/>
      <x/>
    </i>
    <i r="2">
      <x v="57"/>
      <x v="8"/>
    </i>
    <i r="1">
      <x v="35"/>
      <x v="14"/>
      <x v="4"/>
    </i>
    <i r="2">
      <x v="16"/>
      <x v="6"/>
    </i>
    <i r="2">
      <x v="17"/>
      <x v="5"/>
    </i>
    <i r="2">
      <x v="18"/>
      <x/>
    </i>
    <i r="2">
      <x v="48"/>
      <x/>
    </i>
    <i r="2">
      <x v="51"/>
      <x/>
    </i>
    <i r="2">
      <x v="57"/>
      <x v="8"/>
    </i>
    <i r="1">
      <x v="36"/>
      <x v="52"/>
      <x v="1"/>
    </i>
    <i r="2">
      <x v="53"/>
      <x v="1"/>
    </i>
    <i>
      <x v="5"/>
      <x v="1"/>
      <x v="1"/>
      <x/>
    </i>
    <i r="2">
      <x v="9"/>
      <x v="2"/>
    </i>
    <i r="2">
      <x v="16"/>
      <x v="6"/>
    </i>
    <i r="2">
      <x v="17"/>
      <x v="5"/>
    </i>
    <i r="2">
      <x v="22"/>
      <x v="2"/>
    </i>
    <i r="2">
      <x v="39"/>
      <x/>
    </i>
    <i r="2">
      <x v="47"/>
      <x v="2"/>
    </i>
    <i r="2">
      <x v="52"/>
      <x v="1"/>
    </i>
    <i r="2">
      <x v="53"/>
      <x v="1"/>
    </i>
    <i r="2">
      <x v="54"/>
      <x v="1"/>
    </i>
    <i r="2">
      <x v="57"/>
      <x/>
    </i>
    <i r="1">
      <x v="24"/>
      <x v="2"/>
      <x v="2"/>
    </i>
    <i r="2">
      <x v="10"/>
      <x v="1"/>
    </i>
    <i r="2">
      <x v="11"/>
      <x v="1"/>
    </i>
    <i>
      <x v="6"/>
      <x v="23"/>
      <x v="27"/>
      <x v="7"/>
    </i>
    <i r="2">
      <x v="28"/>
      <x/>
    </i>
    <i r="2">
      <x v="29"/>
      <x v="8"/>
    </i>
    <i r="1">
      <x v="29"/>
      <x v="52"/>
      <x v="1"/>
    </i>
    <i>
      <x v="7"/>
      <x/>
      <x v="11"/>
      <x v="1"/>
    </i>
    <i r="1">
      <x v="26"/>
      <x v="40"/>
      <x/>
    </i>
    <i>
      <x v="8"/>
      <x v="18"/>
      <x v="1"/>
      <x/>
    </i>
    <i r="2">
      <x v="27"/>
      <x v="7"/>
    </i>
    <i r="2">
      <x v="28"/>
      <x/>
    </i>
    <i r="2">
      <x v="29"/>
      <x v="8"/>
    </i>
    <i r="2">
      <x v="52"/>
      <x v="1"/>
    </i>
    <i r="1">
      <x v="20"/>
      <x v="28"/>
      <x/>
    </i>
    <i r="2">
      <x v="29"/>
      <x v="8"/>
    </i>
    <i r="2">
      <x v="30"/>
      <x v="7"/>
    </i>
    <i r="2">
      <x v="56"/>
      <x v="5"/>
    </i>
    <i r="1">
      <x v="22"/>
      <x v="27"/>
      <x v="7"/>
    </i>
    <i r="2">
      <x v="28"/>
      <x/>
    </i>
    <i r="2">
      <x v="29"/>
      <x v="8"/>
    </i>
    <i r="2">
      <x v="31"/>
      <x/>
    </i>
    <i r="1">
      <x v="52"/>
      <x v="1"/>
      <x/>
    </i>
    <i r="2">
      <x v="52"/>
      <x v="1"/>
    </i>
    <i r="1">
      <x v="53"/>
      <x v="50"/>
      <x/>
    </i>
    <i r="2">
      <x v="52"/>
      <x v="1"/>
    </i>
    <i r="1">
      <x v="55"/>
      <x v="32"/>
      <x/>
    </i>
    <i r="2">
      <x v="52"/>
      <x v="1"/>
    </i>
    <i>
      <x v="16"/>
      <x v="45"/>
      <x v="2"/>
      <x v="2"/>
    </i>
    <i r="2">
      <x v="9"/>
      <x v="2"/>
    </i>
    <i r="2">
      <x v="53"/>
      <x v="1"/>
    </i>
    <i r="1">
      <x v="46"/>
      <x v="16"/>
      <x v="6"/>
    </i>
    <i r="2">
      <x v="17"/>
      <x v="5"/>
    </i>
    <i r="2">
      <x v="18"/>
      <x/>
    </i>
    <i r="2">
      <x v="47"/>
      <x v="2"/>
    </i>
    <i r="2">
      <x v="49"/>
      <x v="5"/>
    </i>
    <i r="2">
      <x v="65"/>
      <x v="4"/>
    </i>
    <i r="2">
      <x v="66"/>
      <x/>
    </i>
    <i r="1">
      <x v="47"/>
      <x v="22"/>
      <x v="2"/>
    </i>
    <i r="2">
      <x v="50"/>
      <x/>
    </i>
    <i r="2">
      <x v="52"/>
      <x v="1"/>
    </i>
    <i r="2">
      <x v="54"/>
      <x v="1"/>
    </i>
    <i>
      <x v="17"/>
      <x v="56"/>
      <x v="67"/>
      <x/>
    </i>
    <i>
      <x v="18"/>
      <x v="49"/>
      <x v="68"/>
      <x/>
    </i>
  </rowItems>
  <colFields count="1">
    <field x="-2"/>
  </colFields>
  <colItems count="2">
    <i>
      <x/>
    </i>
    <i i="1">
      <x v="1"/>
    </i>
  </colItems>
  <dataFields count="2">
    <dataField name="Kokku" fld="7" baseField="0" baseItem="0"/>
    <dataField name="Maksumus, EUR" fld="10" baseField="8" baseItem="0" numFmtId="3"/>
  </dataFields>
  <formats count="5">
    <format dxfId="1">
      <pivotArea outline="0" fieldPosition="0" dataOnly="0" labelOnly="1"/>
    </format>
    <format dxfId="1">
      <pivotArea outline="0" fieldPosition="2" axis="axisRow" dataOnly="0" field="5" labelOnly="1" type="button"/>
    </format>
    <format dxfId="1">
      <pivotArea outline="0" fieldPosition="0" dataOnly="0" grandRow="1" labelOnly="1"/>
    </format>
    <format dxfId="2">
      <pivotArea outline="0" fieldPosition="3" axis="axisRow" dataOnly="0" field="8" labelOnly="1" type="button"/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421875" style="161" customWidth="1"/>
    <col min="2" max="2" width="67.8515625" style="126" bestFit="1" customWidth="1"/>
    <col min="3" max="3" width="5.140625" style="161" bestFit="1" customWidth="1"/>
    <col min="4" max="4" width="10.28125" style="163" customWidth="1"/>
    <col min="5" max="5" width="11.8515625" style="126" bestFit="1" customWidth="1"/>
    <col min="6" max="16384" width="9.140625" style="126" customWidth="1"/>
  </cols>
  <sheetData>
    <row r="1" spans="1:4" s="146" customFormat="1" ht="12.75">
      <c r="A1" s="143" t="s">
        <v>53</v>
      </c>
      <c r="B1" s="144" t="s">
        <v>2</v>
      </c>
      <c r="C1" s="143" t="s">
        <v>3</v>
      </c>
      <c r="D1" s="145" t="s">
        <v>66</v>
      </c>
    </row>
    <row r="2" spans="1:4" ht="12.75">
      <c r="A2" s="147">
        <v>100</v>
      </c>
      <c r="B2" s="148" t="s">
        <v>54</v>
      </c>
      <c r="C2" s="149"/>
      <c r="D2" s="150"/>
    </row>
    <row r="3" spans="1:4" ht="12.75">
      <c r="A3" s="149">
        <v>101</v>
      </c>
      <c r="B3" s="151" t="s">
        <v>147</v>
      </c>
      <c r="C3" s="149" t="s">
        <v>8</v>
      </c>
      <c r="D3" s="150">
        <v>30000</v>
      </c>
    </row>
    <row r="4" spans="1:4" ht="12.75">
      <c r="A4" s="149" t="s">
        <v>78</v>
      </c>
      <c r="B4" s="151" t="s">
        <v>148</v>
      </c>
      <c r="C4" s="149" t="s">
        <v>8</v>
      </c>
      <c r="D4" s="150">
        <v>25000</v>
      </c>
    </row>
    <row r="5" spans="1:4" ht="12.75">
      <c r="A5" s="149">
        <v>102</v>
      </c>
      <c r="B5" s="151" t="s">
        <v>24</v>
      </c>
      <c r="C5" s="149" t="s">
        <v>5</v>
      </c>
      <c r="D5" s="150">
        <v>6500</v>
      </c>
    </row>
    <row r="6" spans="1:4" ht="12.75">
      <c r="A6" s="149">
        <v>103</v>
      </c>
      <c r="B6" s="151" t="s">
        <v>6</v>
      </c>
      <c r="C6" s="149" t="s">
        <v>5</v>
      </c>
      <c r="D6" s="150">
        <v>20000</v>
      </c>
    </row>
    <row r="7" spans="1:4" ht="12.75">
      <c r="A7" s="149" t="s">
        <v>62</v>
      </c>
      <c r="B7" s="151" t="s">
        <v>63</v>
      </c>
      <c r="C7" s="149" t="s">
        <v>5</v>
      </c>
      <c r="D7" s="150">
        <v>15000</v>
      </c>
    </row>
    <row r="8" spans="1:4" ht="12.75">
      <c r="A8" s="149">
        <v>104</v>
      </c>
      <c r="B8" s="151" t="s">
        <v>7</v>
      </c>
      <c r="C8" s="149" t="s">
        <v>8</v>
      </c>
      <c r="D8" s="150">
        <v>3200</v>
      </c>
    </row>
    <row r="9" spans="1:4" ht="12.75">
      <c r="A9" s="149">
        <v>105</v>
      </c>
      <c r="B9" s="151" t="s">
        <v>98</v>
      </c>
      <c r="C9" s="149" t="s">
        <v>9</v>
      </c>
      <c r="D9" s="150">
        <v>1200</v>
      </c>
    </row>
    <row r="10" spans="1:4" ht="12.75">
      <c r="A10" s="149">
        <v>106</v>
      </c>
      <c r="B10" s="151" t="s">
        <v>10</v>
      </c>
      <c r="C10" s="149" t="s">
        <v>9</v>
      </c>
      <c r="D10" s="150">
        <v>650</v>
      </c>
    </row>
    <row r="11" spans="1:4" ht="12.75">
      <c r="A11" s="149">
        <v>107</v>
      </c>
      <c r="B11" s="151" t="s">
        <v>47</v>
      </c>
      <c r="C11" s="149" t="s">
        <v>11</v>
      </c>
      <c r="D11" s="150">
        <v>1300</v>
      </c>
    </row>
    <row r="12" spans="1:4" ht="12.75">
      <c r="A12" s="149">
        <v>108</v>
      </c>
      <c r="B12" s="151" t="s">
        <v>48</v>
      </c>
      <c r="C12" s="149" t="s">
        <v>11</v>
      </c>
      <c r="D12" s="150">
        <v>1500</v>
      </c>
    </row>
    <row r="13" spans="1:4" ht="12.75">
      <c r="A13" s="149">
        <v>109</v>
      </c>
      <c r="B13" s="151" t="s">
        <v>49</v>
      </c>
      <c r="C13" s="149" t="s">
        <v>11</v>
      </c>
      <c r="D13" s="150">
        <v>2000</v>
      </c>
    </row>
    <row r="14" spans="1:4" ht="12.75">
      <c r="A14" s="149">
        <v>110</v>
      </c>
      <c r="B14" s="151" t="s">
        <v>50</v>
      </c>
      <c r="C14" s="149" t="s">
        <v>5</v>
      </c>
      <c r="D14" s="150">
        <v>15000</v>
      </c>
    </row>
    <row r="15" spans="1:4" ht="12.75">
      <c r="A15" s="149">
        <v>111</v>
      </c>
      <c r="B15" s="151" t="s">
        <v>146</v>
      </c>
      <c r="C15" s="149" t="s">
        <v>5</v>
      </c>
      <c r="D15" s="150">
        <v>20000</v>
      </c>
    </row>
    <row r="16" spans="1:4" ht="12.75">
      <c r="A16" s="149">
        <v>112</v>
      </c>
      <c r="B16" s="151" t="s">
        <v>145</v>
      </c>
      <c r="C16" s="149" t="s">
        <v>5</v>
      </c>
      <c r="D16" s="150">
        <v>60000</v>
      </c>
    </row>
    <row r="17" spans="1:4" ht="12.75">
      <c r="A17" s="149" t="s">
        <v>61</v>
      </c>
      <c r="B17" s="151" t="s">
        <v>144</v>
      </c>
      <c r="C17" s="149" t="s">
        <v>5</v>
      </c>
      <c r="D17" s="150">
        <v>70000</v>
      </c>
    </row>
    <row r="18" spans="1:4" ht="12.75">
      <c r="A18" s="149">
        <v>113</v>
      </c>
      <c r="B18" s="151" t="s">
        <v>64</v>
      </c>
      <c r="C18" s="149" t="s">
        <v>12</v>
      </c>
      <c r="D18" s="150">
        <v>450</v>
      </c>
    </row>
    <row r="19" spans="1:4" ht="12.75">
      <c r="A19" s="149">
        <v>114</v>
      </c>
      <c r="B19" s="151" t="s">
        <v>65</v>
      </c>
      <c r="C19" s="149" t="s">
        <v>12</v>
      </c>
      <c r="D19" s="150">
        <v>350</v>
      </c>
    </row>
    <row r="20" spans="1:4" ht="12.75">
      <c r="A20" s="149">
        <v>115</v>
      </c>
      <c r="B20" s="151" t="s">
        <v>57</v>
      </c>
      <c r="C20" s="149" t="s">
        <v>8</v>
      </c>
      <c r="D20" s="150">
        <v>1500</v>
      </c>
    </row>
    <row r="21" spans="1:4" ht="12.75">
      <c r="A21" s="149">
        <v>116</v>
      </c>
      <c r="B21" s="151" t="s">
        <v>60</v>
      </c>
      <c r="C21" s="149" t="s">
        <v>8</v>
      </c>
      <c r="D21" s="150">
        <v>10000</v>
      </c>
    </row>
    <row r="22" spans="1:4" ht="12.75">
      <c r="A22" s="149">
        <v>117</v>
      </c>
      <c r="B22" s="151" t="s">
        <v>59</v>
      </c>
      <c r="C22" s="149" t="s">
        <v>8</v>
      </c>
      <c r="D22" s="150">
        <v>16000</v>
      </c>
    </row>
    <row r="23" spans="1:4" ht="12.75">
      <c r="A23" s="152"/>
      <c r="B23" s="153"/>
      <c r="C23" s="153"/>
      <c r="D23" s="154"/>
    </row>
    <row r="24" spans="1:4" s="156" customFormat="1" ht="12.75">
      <c r="A24" s="147">
        <v>200</v>
      </c>
      <c r="B24" s="148" t="s">
        <v>13</v>
      </c>
      <c r="C24" s="147"/>
      <c r="D24" s="155"/>
    </row>
    <row r="25" spans="1:4" ht="12.75">
      <c r="A25" s="149">
        <v>201</v>
      </c>
      <c r="B25" s="151" t="s">
        <v>154</v>
      </c>
      <c r="C25" s="149" t="s">
        <v>4</v>
      </c>
      <c r="D25" s="150">
        <v>100</v>
      </c>
    </row>
    <row r="26" spans="1:4" ht="12.75">
      <c r="A26" s="149" t="s">
        <v>69</v>
      </c>
      <c r="B26" s="151" t="s">
        <v>70</v>
      </c>
      <c r="C26" s="149" t="s">
        <v>4</v>
      </c>
      <c r="D26" s="150">
        <v>100</v>
      </c>
    </row>
    <row r="27" spans="1:4" ht="12.75">
      <c r="A27" s="149">
        <v>202</v>
      </c>
      <c r="B27" s="151" t="s">
        <v>125</v>
      </c>
      <c r="C27" s="149" t="s">
        <v>4</v>
      </c>
      <c r="D27" s="150">
        <v>90</v>
      </c>
    </row>
    <row r="28" spans="1:4" ht="12.75">
      <c r="A28" s="149" t="s">
        <v>67</v>
      </c>
      <c r="B28" s="151" t="s">
        <v>76</v>
      </c>
      <c r="C28" s="149" t="s">
        <v>4</v>
      </c>
      <c r="D28" s="150">
        <v>70</v>
      </c>
    </row>
    <row r="29" spans="1:4" ht="12.75">
      <c r="A29" s="149" t="s">
        <v>68</v>
      </c>
      <c r="B29" s="151" t="s">
        <v>77</v>
      </c>
      <c r="C29" s="149" t="s">
        <v>4</v>
      </c>
      <c r="D29" s="150">
        <v>70</v>
      </c>
    </row>
    <row r="30" spans="1:4" ht="12.75">
      <c r="A30" s="149">
        <v>203</v>
      </c>
      <c r="B30" s="151" t="s">
        <v>155</v>
      </c>
      <c r="C30" s="149" t="s">
        <v>4</v>
      </c>
      <c r="D30" s="150">
        <v>90</v>
      </c>
    </row>
    <row r="31" spans="1:4" ht="12.75">
      <c r="A31" s="149" t="s">
        <v>71</v>
      </c>
      <c r="B31" s="151" t="s">
        <v>113</v>
      </c>
      <c r="C31" s="149" t="s">
        <v>4</v>
      </c>
      <c r="D31" s="150">
        <v>80</v>
      </c>
    </row>
    <row r="32" spans="1:4" ht="12.75">
      <c r="A32" s="149" t="s">
        <v>74</v>
      </c>
      <c r="B32" s="151" t="s">
        <v>114</v>
      </c>
      <c r="C32" s="149" t="s">
        <v>4</v>
      </c>
      <c r="D32" s="150">
        <v>70</v>
      </c>
    </row>
    <row r="33" spans="1:4" ht="12.75">
      <c r="A33" s="149">
        <v>204</v>
      </c>
      <c r="B33" s="151" t="s">
        <v>122</v>
      </c>
      <c r="C33" s="149" t="s">
        <v>4</v>
      </c>
      <c r="D33" s="150">
        <v>80</v>
      </c>
    </row>
    <row r="34" spans="1:4" ht="12.75">
      <c r="A34" s="149">
        <v>205</v>
      </c>
      <c r="B34" s="151" t="s">
        <v>156</v>
      </c>
      <c r="C34" s="149" t="s">
        <v>4</v>
      </c>
      <c r="D34" s="150">
        <v>120</v>
      </c>
    </row>
    <row r="35" spans="1:4" ht="12.75">
      <c r="A35" s="149">
        <v>206</v>
      </c>
      <c r="B35" s="151" t="s">
        <v>123</v>
      </c>
      <c r="C35" s="149" t="s">
        <v>4</v>
      </c>
      <c r="D35" s="150">
        <v>100</v>
      </c>
    </row>
    <row r="36" spans="1:4" ht="12.75">
      <c r="A36" s="149">
        <v>207</v>
      </c>
      <c r="B36" s="151" t="s">
        <v>80</v>
      </c>
      <c r="C36" s="149" t="s">
        <v>4</v>
      </c>
      <c r="D36" s="150">
        <v>120</v>
      </c>
    </row>
    <row r="37" spans="1:4" ht="12.75">
      <c r="A37" s="149">
        <v>208</v>
      </c>
      <c r="B37" s="151" t="s">
        <v>81</v>
      </c>
      <c r="C37" s="149" t="s">
        <v>4</v>
      </c>
      <c r="D37" s="150">
        <v>50</v>
      </c>
    </row>
    <row r="38" spans="1:4" ht="12.75">
      <c r="A38" s="149">
        <v>209</v>
      </c>
      <c r="B38" s="151" t="s">
        <v>34</v>
      </c>
      <c r="C38" s="149" t="s">
        <v>4</v>
      </c>
      <c r="D38" s="150">
        <v>96</v>
      </c>
    </row>
    <row r="39" spans="1:4" ht="12.75">
      <c r="A39" s="149">
        <v>210</v>
      </c>
      <c r="B39" s="151" t="s">
        <v>35</v>
      </c>
      <c r="C39" s="149" t="s">
        <v>4</v>
      </c>
      <c r="D39" s="150">
        <v>77</v>
      </c>
    </row>
    <row r="40" spans="1:4" ht="12.75">
      <c r="A40" s="149">
        <v>211</v>
      </c>
      <c r="B40" s="151" t="s">
        <v>36</v>
      </c>
      <c r="C40" s="149" t="s">
        <v>4</v>
      </c>
      <c r="D40" s="150">
        <v>115</v>
      </c>
    </row>
    <row r="41" spans="1:4" ht="12.75">
      <c r="A41" s="149">
        <v>212</v>
      </c>
      <c r="B41" s="151" t="s">
        <v>37</v>
      </c>
      <c r="C41" s="149" t="s">
        <v>4</v>
      </c>
      <c r="D41" s="150">
        <v>96</v>
      </c>
    </row>
    <row r="42" spans="1:4" ht="12.75">
      <c r="A42" s="149">
        <v>213</v>
      </c>
      <c r="B42" s="151" t="s">
        <v>38</v>
      </c>
      <c r="C42" s="149" t="s">
        <v>4</v>
      </c>
      <c r="D42" s="150">
        <v>135</v>
      </c>
    </row>
    <row r="43" spans="1:4" ht="12.75">
      <c r="A43" s="149">
        <v>214</v>
      </c>
      <c r="B43" s="151" t="s">
        <v>39</v>
      </c>
      <c r="C43" s="149" t="s">
        <v>4</v>
      </c>
      <c r="D43" s="150">
        <v>115</v>
      </c>
    </row>
    <row r="44" spans="1:4" ht="12.75">
      <c r="A44" s="149">
        <v>215</v>
      </c>
      <c r="B44" s="151" t="s">
        <v>79</v>
      </c>
      <c r="C44" s="149" t="s">
        <v>4</v>
      </c>
      <c r="D44" s="150">
        <v>100</v>
      </c>
    </row>
    <row r="45" spans="1:4" ht="12.75">
      <c r="A45" s="149">
        <v>216</v>
      </c>
      <c r="B45" s="151" t="s">
        <v>40</v>
      </c>
      <c r="C45" s="149" t="s">
        <v>4</v>
      </c>
      <c r="D45" s="150">
        <v>96</v>
      </c>
    </row>
    <row r="46" spans="1:4" ht="12.75">
      <c r="A46" s="149">
        <v>217</v>
      </c>
      <c r="B46" s="151" t="s">
        <v>91</v>
      </c>
      <c r="C46" s="149" t="s">
        <v>4</v>
      </c>
      <c r="D46" s="150">
        <v>120</v>
      </c>
    </row>
    <row r="47" spans="1:4" ht="12.75">
      <c r="A47" s="149">
        <v>218</v>
      </c>
      <c r="B47" s="151" t="s">
        <v>46</v>
      </c>
      <c r="C47" s="149" t="s">
        <v>4</v>
      </c>
      <c r="D47" s="150">
        <v>128</v>
      </c>
    </row>
    <row r="48" spans="1:4" ht="12.75">
      <c r="A48" s="149">
        <v>219</v>
      </c>
      <c r="B48" s="151" t="s">
        <v>95</v>
      </c>
      <c r="C48" s="149" t="s">
        <v>4</v>
      </c>
      <c r="D48" s="150">
        <v>90</v>
      </c>
    </row>
    <row r="49" spans="1:4" ht="12.75">
      <c r="A49" s="149">
        <v>220</v>
      </c>
      <c r="B49" s="151" t="s">
        <v>85</v>
      </c>
      <c r="C49" s="149" t="s">
        <v>8</v>
      </c>
      <c r="D49" s="150">
        <v>700</v>
      </c>
    </row>
    <row r="50" spans="1:4" ht="12.75">
      <c r="A50" s="149">
        <v>221</v>
      </c>
      <c r="B50" s="151" t="s">
        <v>107</v>
      </c>
      <c r="C50" s="149" t="s">
        <v>8</v>
      </c>
      <c r="D50" s="150">
        <v>1000</v>
      </c>
    </row>
    <row r="51" spans="1:4" ht="12.75">
      <c r="A51" s="149" t="s">
        <v>108</v>
      </c>
      <c r="B51" s="151" t="s">
        <v>109</v>
      </c>
      <c r="C51" s="149" t="s">
        <v>8</v>
      </c>
      <c r="D51" s="150">
        <v>800</v>
      </c>
    </row>
    <row r="52" spans="1:4" ht="12.75">
      <c r="A52" s="149">
        <v>222</v>
      </c>
      <c r="B52" s="151" t="s">
        <v>25</v>
      </c>
      <c r="C52" s="149" t="s">
        <v>8</v>
      </c>
      <c r="D52" s="150">
        <v>650</v>
      </c>
    </row>
    <row r="53" spans="1:4" ht="12.75">
      <c r="A53" s="149">
        <v>223</v>
      </c>
      <c r="B53" s="151" t="s">
        <v>56</v>
      </c>
      <c r="C53" s="149" t="s">
        <v>8</v>
      </c>
      <c r="D53" s="150">
        <v>650</v>
      </c>
    </row>
    <row r="54" spans="1:4" ht="12.75">
      <c r="A54" s="149"/>
      <c r="B54" s="151"/>
      <c r="C54" s="149"/>
      <c r="D54" s="150"/>
    </row>
    <row r="55" spans="1:4" ht="12.75">
      <c r="A55" s="147">
        <v>300</v>
      </c>
      <c r="B55" s="148" t="s">
        <v>55</v>
      </c>
      <c r="C55" s="147"/>
      <c r="D55" s="155"/>
    </row>
    <row r="56" spans="1:4" ht="12.75">
      <c r="A56" s="149">
        <v>301</v>
      </c>
      <c r="B56" s="151" t="s">
        <v>45</v>
      </c>
      <c r="C56" s="149" t="s">
        <v>5</v>
      </c>
      <c r="D56" s="150">
        <v>12800</v>
      </c>
    </row>
    <row r="57" spans="1:4" ht="12.75">
      <c r="A57" s="149">
        <v>302</v>
      </c>
      <c r="B57" s="151" t="s">
        <v>43</v>
      </c>
      <c r="C57" s="149" t="s">
        <v>5</v>
      </c>
      <c r="D57" s="150">
        <v>25000</v>
      </c>
    </row>
    <row r="58" spans="1:4" ht="12.75">
      <c r="A58" s="149" t="s">
        <v>119</v>
      </c>
      <c r="B58" s="151" t="s">
        <v>120</v>
      </c>
      <c r="C58" s="149" t="s">
        <v>5</v>
      </c>
      <c r="D58" s="150">
        <v>30000</v>
      </c>
    </row>
    <row r="59" spans="1:4" ht="12.75">
      <c r="A59" s="149">
        <v>303</v>
      </c>
      <c r="B59" s="151" t="s">
        <v>92</v>
      </c>
      <c r="C59" s="149" t="s">
        <v>5</v>
      </c>
      <c r="D59" s="150">
        <v>34000</v>
      </c>
    </row>
    <row r="60" spans="1:4" ht="12.75">
      <c r="A60" s="149">
        <v>304</v>
      </c>
      <c r="B60" s="151" t="s">
        <v>93</v>
      </c>
      <c r="C60" s="149" t="s">
        <v>5</v>
      </c>
      <c r="D60" s="150">
        <v>40000</v>
      </c>
    </row>
    <row r="61" spans="1:4" ht="12.75">
      <c r="A61" s="149" t="s">
        <v>115</v>
      </c>
      <c r="B61" s="151" t="s">
        <v>116</v>
      </c>
      <c r="C61" s="149" t="s">
        <v>5</v>
      </c>
      <c r="D61" s="150">
        <v>15000</v>
      </c>
    </row>
    <row r="62" spans="1:4" ht="12.75">
      <c r="A62" s="149">
        <v>305</v>
      </c>
      <c r="B62" s="151" t="s">
        <v>44</v>
      </c>
      <c r="C62" s="149" t="s">
        <v>5</v>
      </c>
      <c r="D62" s="150">
        <v>95000</v>
      </c>
    </row>
    <row r="63" spans="1:4" ht="12.75">
      <c r="A63" s="149">
        <v>306</v>
      </c>
      <c r="B63" s="151" t="s">
        <v>117</v>
      </c>
      <c r="C63" s="149" t="s">
        <v>14</v>
      </c>
      <c r="D63" s="150">
        <v>700</v>
      </c>
    </row>
    <row r="64" spans="1:4" ht="12.75">
      <c r="A64" s="149" t="s">
        <v>110</v>
      </c>
      <c r="B64" s="151" t="s">
        <v>111</v>
      </c>
      <c r="C64" s="149" t="s">
        <v>5</v>
      </c>
      <c r="D64" s="150">
        <v>15000</v>
      </c>
    </row>
    <row r="65" spans="1:4" ht="12.75">
      <c r="A65" s="149">
        <v>307</v>
      </c>
      <c r="B65" s="151" t="s">
        <v>118</v>
      </c>
      <c r="C65" s="149" t="s">
        <v>14</v>
      </c>
      <c r="D65" s="150">
        <v>600</v>
      </c>
    </row>
    <row r="66" spans="1:4" ht="12.75">
      <c r="A66" s="149">
        <v>308</v>
      </c>
      <c r="B66" s="151" t="s">
        <v>33</v>
      </c>
      <c r="C66" s="149" t="s">
        <v>14</v>
      </c>
      <c r="D66" s="150">
        <v>500</v>
      </c>
    </row>
    <row r="67" spans="1:4" ht="12.75">
      <c r="A67" s="149">
        <v>309</v>
      </c>
      <c r="B67" s="151" t="s">
        <v>41</v>
      </c>
      <c r="C67" s="149" t="s">
        <v>12</v>
      </c>
      <c r="D67" s="150">
        <v>650</v>
      </c>
    </row>
    <row r="68" spans="1:7" ht="12.75">
      <c r="A68" s="149">
        <v>310</v>
      </c>
      <c r="B68" s="151" t="s">
        <v>42</v>
      </c>
      <c r="C68" s="149" t="s">
        <v>5</v>
      </c>
      <c r="D68" s="150">
        <v>4000</v>
      </c>
      <c r="G68" s="156"/>
    </row>
    <row r="69" spans="1:7" ht="12.75">
      <c r="A69" s="149"/>
      <c r="B69" s="151"/>
      <c r="C69" s="149"/>
      <c r="D69" s="150"/>
      <c r="G69" s="156"/>
    </row>
    <row r="70" spans="1:4" ht="12.75">
      <c r="A70" s="149"/>
      <c r="B70" s="151"/>
      <c r="C70" s="149"/>
      <c r="D70" s="150"/>
    </row>
    <row r="71" spans="1:4" ht="12.75">
      <c r="A71" s="147"/>
      <c r="B71" s="148" t="s">
        <v>15</v>
      </c>
      <c r="C71" s="148"/>
      <c r="D71" s="157"/>
    </row>
    <row r="72" spans="1:4" ht="12.75">
      <c r="A72" s="149">
        <v>601</v>
      </c>
      <c r="B72" s="151" t="s">
        <v>51</v>
      </c>
      <c r="C72" s="149" t="s">
        <v>9</v>
      </c>
      <c r="D72" s="150">
        <v>150</v>
      </c>
    </row>
    <row r="73" spans="1:4" ht="12.75">
      <c r="A73" s="149">
        <v>602</v>
      </c>
      <c r="B73" s="151" t="s">
        <v>52</v>
      </c>
      <c r="C73" s="149" t="s">
        <v>9</v>
      </c>
      <c r="D73" s="150">
        <v>25</v>
      </c>
    </row>
    <row r="74" spans="1:4" ht="12.75">
      <c r="A74" s="149">
        <v>603</v>
      </c>
      <c r="B74" s="151" t="s">
        <v>100</v>
      </c>
      <c r="C74" s="149" t="s">
        <v>9</v>
      </c>
      <c r="D74" s="150">
        <v>40</v>
      </c>
    </row>
    <row r="75" spans="1:4" ht="12.75">
      <c r="A75" s="149">
        <v>604</v>
      </c>
      <c r="B75" s="151" t="s">
        <v>26</v>
      </c>
      <c r="C75" s="149" t="s">
        <v>9</v>
      </c>
      <c r="D75" s="150">
        <v>30</v>
      </c>
    </row>
    <row r="76" spans="1:4" ht="12.75">
      <c r="A76" s="149">
        <v>605</v>
      </c>
      <c r="B76" s="151" t="s">
        <v>27</v>
      </c>
      <c r="C76" s="149" t="s">
        <v>9</v>
      </c>
      <c r="D76" s="150">
        <v>40</v>
      </c>
    </row>
    <row r="77" spans="1:4" ht="12.75">
      <c r="A77" s="149">
        <v>606</v>
      </c>
      <c r="B77" s="151" t="s">
        <v>32</v>
      </c>
      <c r="C77" s="149" t="s">
        <v>4</v>
      </c>
      <c r="D77" s="150">
        <v>20</v>
      </c>
    </row>
    <row r="78" spans="1:4" ht="12.75">
      <c r="A78" s="149"/>
      <c r="B78" s="151"/>
      <c r="C78" s="149"/>
      <c r="D78" s="150"/>
    </row>
    <row r="79" spans="1:4" ht="12.75">
      <c r="A79" s="147"/>
      <c r="B79" s="148" t="s">
        <v>16</v>
      </c>
      <c r="C79" s="148"/>
      <c r="D79" s="157"/>
    </row>
    <row r="80" spans="1:4" ht="12.75">
      <c r="A80" s="149">
        <v>1001</v>
      </c>
      <c r="B80" s="151" t="s">
        <v>17</v>
      </c>
      <c r="C80" s="149" t="s">
        <v>4</v>
      </c>
      <c r="D80" s="150">
        <v>5</v>
      </c>
    </row>
    <row r="81" spans="1:4" ht="12.75">
      <c r="A81" s="149">
        <v>1002</v>
      </c>
      <c r="B81" s="151" t="s">
        <v>18</v>
      </c>
      <c r="C81" s="149" t="s">
        <v>4</v>
      </c>
      <c r="D81" s="150">
        <v>6.5</v>
      </c>
    </row>
    <row r="82" spans="1:4" ht="12.75">
      <c r="A82" s="149">
        <v>1003</v>
      </c>
      <c r="B82" s="151" t="s">
        <v>19</v>
      </c>
      <c r="C82" s="149" t="s">
        <v>4</v>
      </c>
      <c r="D82" s="150">
        <v>13</v>
      </c>
    </row>
    <row r="83" spans="1:4" ht="12.75">
      <c r="A83" s="149">
        <v>1004</v>
      </c>
      <c r="B83" s="151" t="s">
        <v>20</v>
      </c>
      <c r="C83" s="149" t="s">
        <v>21</v>
      </c>
      <c r="D83" s="150">
        <v>450</v>
      </c>
    </row>
    <row r="84" spans="1:4" ht="12.75">
      <c r="A84" s="149">
        <v>1005</v>
      </c>
      <c r="B84" s="151" t="s">
        <v>22</v>
      </c>
      <c r="C84" s="149" t="s">
        <v>8</v>
      </c>
      <c r="D84" s="150">
        <v>100</v>
      </c>
    </row>
    <row r="85" spans="1:4" ht="12.75">
      <c r="A85" s="149">
        <v>1006</v>
      </c>
      <c r="B85" s="151" t="s">
        <v>23</v>
      </c>
      <c r="C85" s="149" t="s">
        <v>8</v>
      </c>
      <c r="D85" s="150">
        <v>600</v>
      </c>
    </row>
    <row r="86" spans="1:4" ht="12.75">
      <c r="A86" s="158"/>
      <c r="B86" s="159"/>
      <c r="C86" s="158"/>
      <c r="D86" s="160"/>
    </row>
    <row r="87" spans="1:4" ht="12.75">
      <c r="A87" s="158"/>
      <c r="B87" s="159" t="s">
        <v>72</v>
      </c>
      <c r="C87" s="158"/>
      <c r="D87" s="160"/>
    </row>
    <row r="88" spans="1:4" ht="12.75">
      <c r="A88" s="149">
        <v>2001</v>
      </c>
      <c r="B88" s="151" t="s">
        <v>73</v>
      </c>
      <c r="C88" s="149" t="s">
        <v>8</v>
      </c>
      <c r="D88" s="150">
        <v>15000</v>
      </c>
    </row>
    <row r="89" spans="3:4" ht="12.75">
      <c r="C89" s="126"/>
      <c r="D89" s="162"/>
    </row>
    <row r="90" spans="3:4" ht="12.75">
      <c r="C90" s="126"/>
      <c r="D90" s="162"/>
    </row>
    <row r="91" spans="3:4" ht="12.75">
      <c r="C91" s="126"/>
      <c r="D91" s="162"/>
    </row>
    <row r="92" spans="3:4" ht="12.75">
      <c r="C92" s="126"/>
      <c r="D92" s="162"/>
    </row>
    <row r="93" spans="3:4" ht="12.75">
      <c r="C93" s="126"/>
      <c r="D93" s="162"/>
    </row>
    <row r="94" spans="3:4" ht="12.75">
      <c r="C94" s="126"/>
      <c r="D94" s="162"/>
    </row>
    <row r="95" spans="3:4" ht="12.75">
      <c r="C95" s="126"/>
      <c r="D95" s="162"/>
    </row>
    <row r="96" spans="3:4" ht="12.75">
      <c r="C96" s="126"/>
      <c r="D96" s="162"/>
    </row>
    <row r="97" spans="3:4" ht="12.75">
      <c r="C97" s="126"/>
      <c r="D97" s="162"/>
    </row>
    <row r="98" spans="3:4" ht="12.75">
      <c r="C98" s="126"/>
      <c r="D98" s="1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9"/>
  <sheetViews>
    <sheetView zoomScaleSheetLayoutView="100" workbookViewId="0" topLeftCell="A1">
      <pane ySplit="2" topLeftCell="A13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7.57421875" style="165" customWidth="1"/>
    <col min="2" max="2" width="18.57421875" style="165" bestFit="1" customWidth="1"/>
    <col min="3" max="3" width="9.7109375" style="165" bestFit="1" customWidth="1"/>
    <col min="4" max="4" width="12.421875" style="165" customWidth="1"/>
    <col min="5" max="5" width="6.421875" style="165" customWidth="1"/>
    <col min="6" max="6" width="46.8515625" style="166" customWidth="1"/>
    <col min="7" max="7" width="27.00390625" style="167" customWidth="1"/>
    <col min="8" max="8" width="6.7109375" style="168" bestFit="1" customWidth="1"/>
    <col min="9" max="9" width="5.00390625" style="169" bestFit="1" customWidth="1"/>
    <col min="10" max="10" width="9.140625" style="169" bestFit="1" customWidth="1"/>
    <col min="11" max="11" width="10.28125" style="170" bestFit="1" customWidth="1"/>
    <col min="12" max="12" width="6.00390625" style="113" customWidth="1"/>
    <col min="13" max="16384" width="9.140625" style="113" customWidth="1"/>
  </cols>
  <sheetData>
    <row r="1" spans="1:2" ht="13.5" thickBot="1">
      <c r="A1" s="164" t="s">
        <v>320</v>
      </c>
      <c r="B1" s="164"/>
    </row>
    <row r="2" spans="1:11" s="176" customFormat="1" ht="26.25" thickBot="1">
      <c r="A2" s="171" t="s">
        <v>0</v>
      </c>
      <c r="B2" s="172" t="s">
        <v>132</v>
      </c>
      <c r="C2" s="173" t="s">
        <v>82</v>
      </c>
      <c r="D2" s="173" t="s">
        <v>75</v>
      </c>
      <c r="E2" s="173" t="s">
        <v>1</v>
      </c>
      <c r="F2" s="173" t="s">
        <v>2</v>
      </c>
      <c r="G2" s="173" t="s">
        <v>28</v>
      </c>
      <c r="H2" s="174" t="s">
        <v>29</v>
      </c>
      <c r="I2" s="174" t="s">
        <v>3</v>
      </c>
      <c r="J2" s="174" t="s">
        <v>31</v>
      </c>
      <c r="K2" s="175" t="s">
        <v>30</v>
      </c>
    </row>
    <row r="3" spans="1:11" ht="12.75">
      <c r="A3" s="177" t="s">
        <v>83</v>
      </c>
      <c r="B3" s="177" t="s">
        <v>198</v>
      </c>
      <c r="C3" s="177"/>
      <c r="D3" s="177" t="s">
        <v>87</v>
      </c>
      <c r="E3" s="178">
        <v>205</v>
      </c>
      <c r="F3" s="179" t="str">
        <f>VLOOKUP($E3,Hinnad!$A$2:$E$520,2)</f>
        <v>Isevoolse torustiku rajamine</v>
      </c>
      <c r="G3" s="180" t="s">
        <v>84</v>
      </c>
      <c r="H3" s="181">
        <v>300</v>
      </c>
      <c r="I3" s="182" t="str">
        <f>VLOOKUP($E3,Hinnad!$A$2:$E$520,3)</f>
        <v>m</v>
      </c>
      <c r="J3" s="182">
        <f>VLOOKUP($E3,Hinnad!$A$2:$E$520,4)</f>
        <v>120</v>
      </c>
      <c r="K3" s="183">
        <f aca="true" t="shared" si="0" ref="K3:K13">H3*J3</f>
        <v>36000</v>
      </c>
    </row>
    <row r="4" spans="1:11" ht="25.5">
      <c r="A4" s="177" t="s">
        <v>83</v>
      </c>
      <c r="B4" s="177" t="s">
        <v>198</v>
      </c>
      <c r="C4" s="177"/>
      <c r="D4" s="177" t="s">
        <v>87</v>
      </c>
      <c r="E4" s="178">
        <v>221</v>
      </c>
      <c r="F4" s="179" t="str">
        <f>VLOOKUP($E4,Hinnad!$A$2:$E$520,2)</f>
        <v>Kanalisatsiooni majaühendus (sh tarnetoru, ühendus tänavatorustikuga, liitumiskaev)</v>
      </c>
      <c r="G4" s="180" t="s">
        <v>84</v>
      </c>
      <c r="H4" s="181">
        <v>9</v>
      </c>
      <c r="I4" s="182" t="str">
        <f>VLOOKUP($E4,Hinnad!$A$2:$E$520,3)</f>
        <v>tk</v>
      </c>
      <c r="J4" s="182">
        <f>VLOOKUP($E4,Hinnad!$A$2:$E$520,4)</f>
        <v>1000</v>
      </c>
      <c r="K4" s="183">
        <f t="shared" si="0"/>
        <v>9000</v>
      </c>
    </row>
    <row r="5" spans="1:11" ht="12.75">
      <c r="A5" s="177" t="s">
        <v>83</v>
      </c>
      <c r="B5" s="177" t="s">
        <v>198</v>
      </c>
      <c r="C5" s="177"/>
      <c r="D5" s="177" t="s">
        <v>87</v>
      </c>
      <c r="E5" s="178">
        <v>203</v>
      </c>
      <c r="F5" s="179" t="str">
        <f>VLOOKUP($E5,Hinnad!$A$2:$E$520,2)</f>
        <v>Survekanalisatsiooni rajamine</v>
      </c>
      <c r="G5" s="180" t="s">
        <v>84</v>
      </c>
      <c r="H5" s="181">
        <v>155</v>
      </c>
      <c r="I5" s="182" t="str">
        <f>VLOOKUP($E5,Hinnad!$A$2:$E$520,3)</f>
        <v>m</v>
      </c>
      <c r="J5" s="182">
        <f>VLOOKUP($E5,Hinnad!$A$2:$E$520,4)</f>
        <v>90</v>
      </c>
      <c r="K5" s="183">
        <f t="shared" si="0"/>
        <v>13950</v>
      </c>
    </row>
    <row r="6" spans="1:11" ht="12.75">
      <c r="A6" s="177" t="s">
        <v>83</v>
      </c>
      <c r="B6" s="177" t="s">
        <v>198</v>
      </c>
      <c r="C6" s="177"/>
      <c r="D6" s="177" t="s">
        <v>87</v>
      </c>
      <c r="E6" s="178">
        <v>302</v>
      </c>
      <c r="F6" s="179" t="str">
        <f>VLOOKUP($E6,Hinnad!$A$2:$E$520,2)</f>
        <v>Reoveepumpla Q &lt; 5 l/s</v>
      </c>
      <c r="G6" s="180" t="s">
        <v>84</v>
      </c>
      <c r="H6" s="181">
        <v>1</v>
      </c>
      <c r="I6" s="182" t="str">
        <f>VLOOKUP($E6,Hinnad!$A$2:$E$520,3)</f>
        <v>kmpl</v>
      </c>
      <c r="J6" s="182">
        <f>VLOOKUP($E6,Hinnad!$A$2:$E$520,4)</f>
        <v>25000</v>
      </c>
      <c r="K6" s="183">
        <f t="shared" si="0"/>
        <v>25000</v>
      </c>
    </row>
    <row r="7" spans="1:11" ht="12.75">
      <c r="A7" s="177" t="s">
        <v>83</v>
      </c>
      <c r="B7" s="177" t="s">
        <v>198</v>
      </c>
      <c r="C7" s="177"/>
      <c r="D7" s="177" t="s">
        <v>90</v>
      </c>
      <c r="E7" s="178">
        <v>201</v>
      </c>
      <c r="F7" s="179" t="str">
        <f>VLOOKUP($E7,Hinnad!$A$2:$E$520,2)</f>
        <v>Veetorustiku rajamine</v>
      </c>
      <c r="G7" s="179"/>
      <c r="H7" s="181">
        <v>1760</v>
      </c>
      <c r="I7" s="182" t="str">
        <f>VLOOKUP($E7,Hinnad!$A$2:$E$520,3)</f>
        <v>m</v>
      </c>
      <c r="J7" s="182">
        <f>VLOOKUP($E7,Hinnad!$A$2:$E$520,4)</f>
        <v>100</v>
      </c>
      <c r="K7" s="183">
        <f t="shared" si="0"/>
        <v>176000</v>
      </c>
    </row>
    <row r="8" spans="1:11" ht="25.5">
      <c r="A8" s="177" t="s">
        <v>83</v>
      </c>
      <c r="B8" s="177" t="s">
        <v>198</v>
      </c>
      <c r="C8" s="177"/>
      <c r="D8" s="177" t="s">
        <v>90</v>
      </c>
      <c r="E8" s="178">
        <v>220</v>
      </c>
      <c r="F8" s="179" t="str">
        <f>VLOOKUP($E8,Hinnad!$A$2:$E$520,2)</f>
        <v>Veevarustuse majaühendus (sh tarnetoru, ühendus tänavatorustikuga, maakraan)</v>
      </c>
      <c r="G8" s="179"/>
      <c r="H8" s="181">
        <v>20</v>
      </c>
      <c r="I8" s="182" t="str">
        <f>VLOOKUP($E8,Hinnad!$A$2:$E$520,3)</f>
        <v>tk</v>
      </c>
      <c r="J8" s="182">
        <f>VLOOKUP($E8,Hinnad!$A$2:$E$520,4)</f>
        <v>700</v>
      </c>
      <c r="K8" s="183">
        <f t="shared" si="0"/>
        <v>14000</v>
      </c>
    </row>
    <row r="9" spans="1:11" ht="12.75">
      <c r="A9" s="177" t="s">
        <v>83</v>
      </c>
      <c r="B9" s="177" t="s">
        <v>198</v>
      </c>
      <c r="C9" s="177"/>
      <c r="D9" s="177" t="s">
        <v>90</v>
      </c>
      <c r="E9" s="178">
        <v>115</v>
      </c>
      <c r="F9" s="179" t="str">
        <f>VLOOKUP($E9,Hinnad!$A$2:$E$520,2)</f>
        <v>Tuletõrjehüdrant</v>
      </c>
      <c r="G9" s="179"/>
      <c r="H9" s="181">
        <v>7</v>
      </c>
      <c r="I9" s="182" t="str">
        <f>VLOOKUP($E9,Hinnad!$A$2:$E$520,3)</f>
        <v>tk</v>
      </c>
      <c r="J9" s="182">
        <f>VLOOKUP($E9,Hinnad!$A$2:$E$520,4)</f>
        <v>1500</v>
      </c>
      <c r="K9" s="183">
        <f t="shared" si="0"/>
        <v>10500</v>
      </c>
    </row>
    <row r="10" spans="1:11" ht="12.75">
      <c r="A10" s="177" t="s">
        <v>83</v>
      </c>
      <c r="B10" s="177" t="s">
        <v>198</v>
      </c>
      <c r="C10" s="177"/>
      <c r="D10" s="177" t="s">
        <v>94</v>
      </c>
      <c r="E10" s="178">
        <v>217</v>
      </c>
      <c r="F10" s="179" t="str">
        <f>VLOOKUP($E10,Hinnad!$A$2:$E$520,2)</f>
        <v>Isevoolse torustiku rekonstrueerimine</v>
      </c>
      <c r="G10" s="179"/>
      <c r="H10" s="181">
        <v>1245</v>
      </c>
      <c r="I10" s="182" t="str">
        <f>VLOOKUP($E10,Hinnad!$A$2:$E$520,3)</f>
        <v>m</v>
      </c>
      <c r="J10" s="182">
        <f>VLOOKUP($E10,Hinnad!$A$2:$E$520,4)</f>
        <v>120</v>
      </c>
      <c r="K10" s="183">
        <f t="shared" si="0"/>
        <v>149400</v>
      </c>
    </row>
    <row r="11" spans="1:11" ht="12.75">
      <c r="A11" s="177" t="s">
        <v>83</v>
      </c>
      <c r="B11" s="177" t="s">
        <v>198</v>
      </c>
      <c r="C11" s="177"/>
      <c r="D11" s="177" t="s">
        <v>94</v>
      </c>
      <c r="E11" s="178">
        <v>302</v>
      </c>
      <c r="F11" s="179" t="str">
        <f>VLOOKUP($E11,Hinnad!$A$2:$E$520,2)</f>
        <v>Reoveepumpla Q &lt; 5 l/s</v>
      </c>
      <c r="G11" s="180" t="s">
        <v>199</v>
      </c>
      <c r="H11" s="181">
        <v>1</v>
      </c>
      <c r="I11" s="182" t="str">
        <f>VLOOKUP($E11,Hinnad!$A$2:$E$520,3)</f>
        <v>kmpl</v>
      </c>
      <c r="J11" s="182">
        <f>VLOOKUP($E11,Hinnad!$A$2:$E$520,4)</f>
        <v>25000</v>
      </c>
      <c r="K11" s="183">
        <f t="shared" si="0"/>
        <v>25000</v>
      </c>
    </row>
    <row r="12" spans="1:11" ht="12.75">
      <c r="A12" s="177" t="s">
        <v>83</v>
      </c>
      <c r="B12" s="177" t="s">
        <v>198</v>
      </c>
      <c r="C12" s="177"/>
      <c r="D12" s="177" t="s">
        <v>94</v>
      </c>
      <c r="E12" s="178">
        <v>203</v>
      </c>
      <c r="F12" s="179" t="str">
        <f>VLOOKUP($E12,Hinnad!$A$2:$E$520,2)</f>
        <v>Survekanalisatsiooni rajamine</v>
      </c>
      <c r="G12" s="180" t="s">
        <v>199</v>
      </c>
      <c r="H12" s="181">
        <v>110</v>
      </c>
      <c r="I12" s="182" t="str">
        <f>VLOOKUP($E12,Hinnad!$A$2:$E$520,3)</f>
        <v>m</v>
      </c>
      <c r="J12" s="182">
        <f>VLOOKUP($E12,Hinnad!$A$2:$E$520,4)</f>
        <v>90</v>
      </c>
      <c r="K12" s="183">
        <f t="shared" si="0"/>
        <v>9900</v>
      </c>
    </row>
    <row r="13" spans="1:11" ht="25.5">
      <c r="A13" s="177" t="s">
        <v>83</v>
      </c>
      <c r="B13" s="177" t="s">
        <v>198</v>
      </c>
      <c r="C13" s="177"/>
      <c r="D13" s="177" t="s">
        <v>94</v>
      </c>
      <c r="E13" s="178">
        <v>221</v>
      </c>
      <c r="F13" s="179" t="str">
        <f>VLOOKUP($E13,Hinnad!$A$2:$E$520,2)</f>
        <v>Kanalisatsiooni majaühendus (sh tarnetoru, ühendus tänavatorustikuga, liitumiskaev)</v>
      </c>
      <c r="G13" s="179"/>
      <c r="H13" s="181">
        <v>19</v>
      </c>
      <c r="I13" s="182" t="str">
        <f>VLOOKUP($E13,Hinnad!$A$2:$E$520,3)</f>
        <v>tk</v>
      </c>
      <c r="J13" s="182">
        <f>VLOOKUP($E13,Hinnad!$A$2:$E$520,4)</f>
        <v>1000</v>
      </c>
      <c r="K13" s="183">
        <f t="shared" si="0"/>
        <v>19000</v>
      </c>
    </row>
    <row r="14" spans="1:11" ht="12.75">
      <c r="A14" s="177"/>
      <c r="B14" s="177"/>
      <c r="C14" s="177"/>
      <c r="D14" s="177"/>
      <c r="E14" s="178"/>
      <c r="F14" s="179"/>
      <c r="G14" s="179"/>
      <c r="H14" s="181"/>
      <c r="I14" s="182"/>
      <c r="J14" s="182"/>
      <c r="K14" s="183"/>
    </row>
    <row r="15" spans="1:11" ht="12.75">
      <c r="A15" s="177" t="s">
        <v>83</v>
      </c>
      <c r="B15" s="177" t="s">
        <v>86</v>
      </c>
      <c r="C15" s="177"/>
      <c r="D15" s="177" t="s">
        <v>87</v>
      </c>
      <c r="E15" s="178">
        <v>205</v>
      </c>
      <c r="F15" s="179" t="str">
        <f>VLOOKUP($E15,Hinnad!$A$2:$E$520,2)</f>
        <v>Isevoolse torustiku rajamine</v>
      </c>
      <c r="G15" s="179"/>
      <c r="H15" s="181">
        <v>1300</v>
      </c>
      <c r="I15" s="182" t="str">
        <f>VLOOKUP($E15,Hinnad!$A$2:$E$520,3)</f>
        <v>m</v>
      </c>
      <c r="J15" s="182">
        <f>VLOOKUP($E15,Hinnad!$A$2:$E$520,4)</f>
        <v>120</v>
      </c>
      <c r="K15" s="183">
        <f aca="true" t="shared" si="1" ref="K15:K22">H15*J15</f>
        <v>156000</v>
      </c>
    </row>
    <row r="16" spans="1:11" ht="12.75">
      <c r="A16" s="177" t="s">
        <v>83</v>
      </c>
      <c r="B16" s="177" t="s">
        <v>86</v>
      </c>
      <c r="C16" s="177"/>
      <c r="D16" s="177" t="s">
        <v>87</v>
      </c>
      <c r="E16" s="178">
        <v>302</v>
      </c>
      <c r="F16" s="179" t="str">
        <f>VLOOKUP($E16,Hinnad!$A$2:$E$520,2)</f>
        <v>Reoveepumpla Q &lt; 5 l/s</v>
      </c>
      <c r="G16" s="179"/>
      <c r="H16" s="181">
        <v>2</v>
      </c>
      <c r="I16" s="182" t="str">
        <f>VLOOKUP($E16,Hinnad!$A$2:$E$520,3)</f>
        <v>kmpl</v>
      </c>
      <c r="J16" s="182">
        <f>VLOOKUP($E16,Hinnad!$A$2:$E$520,4)</f>
        <v>25000</v>
      </c>
      <c r="K16" s="183">
        <f t="shared" si="1"/>
        <v>50000</v>
      </c>
    </row>
    <row r="17" spans="1:11" ht="12.75">
      <c r="A17" s="177" t="s">
        <v>83</v>
      </c>
      <c r="B17" s="177" t="s">
        <v>86</v>
      </c>
      <c r="C17" s="177"/>
      <c r="D17" s="177" t="s">
        <v>87</v>
      </c>
      <c r="E17" s="184" t="s">
        <v>119</v>
      </c>
      <c r="F17" s="179" t="str">
        <f>VLOOKUP($E17,Hinnad!$A$2:$E$520,2)</f>
        <v>Reoveepumpla Q = 5 l/s</v>
      </c>
      <c r="G17" s="179"/>
      <c r="H17" s="181">
        <v>1</v>
      </c>
      <c r="I17" s="182" t="str">
        <f>VLOOKUP($E17,Hinnad!$A$2:$E$520,3)</f>
        <v>kmpl</v>
      </c>
      <c r="J17" s="182">
        <f>VLOOKUP($E17,Hinnad!$A$2:$E$520,4)</f>
        <v>30000</v>
      </c>
      <c r="K17" s="183">
        <f>H17*J17</f>
        <v>30000</v>
      </c>
    </row>
    <row r="18" spans="1:11" ht="12.75">
      <c r="A18" s="177" t="s">
        <v>83</v>
      </c>
      <c r="B18" s="177" t="s">
        <v>86</v>
      </c>
      <c r="C18" s="177"/>
      <c r="D18" s="177" t="s">
        <v>87</v>
      </c>
      <c r="E18" s="178">
        <v>203</v>
      </c>
      <c r="F18" s="179" t="str">
        <f>VLOOKUP($E18,Hinnad!$A$2:$E$520,2)</f>
        <v>Survekanalisatsiooni rajamine</v>
      </c>
      <c r="G18" s="179"/>
      <c r="H18" s="181">
        <v>1220</v>
      </c>
      <c r="I18" s="182" t="str">
        <f>VLOOKUP($E18,Hinnad!$A$2:$E$520,3)</f>
        <v>m</v>
      </c>
      <c r="J18" s="182">
        <f>VLOOKUP($E18,Hinnad!$A$2:$E$520,4)</f>
        <v>90</v>
      </c>
      <c r="K18" s="183">
        <f t="shared" si="1"/>
        <v>109800</v>
      </c>
    </row>
    <row r="19" spans="1:11" ht="25.5">
      <c r="A19" s="177" t="s">
        <v>83</v>
      </c>
      <c r="B19" s="177" t="s">
        <v>86</v>
      </c>
      <c r="C19" s="177"/>
      <c r="D19" s="177" t="s">
        <v>87</v>
      </c>
      <c r="E19" s="178">
        <v>221</v>
      </c>
      <c r="F19" s="179" t="str">
        <f>VLOOKUP($E19,Hinnad!$A$2:$E$520,2)</f>
        <v>Kanalisatsiooni majaühendus (sh tarnetoru, ühendus tänavatorustikuga, liitumiskaev)</v>
      </c>
      <c r="G19" s="179"/>
      <c r="H19" s="181">
        <v>31</v>
      </c>
      <c r="I19" s="182" t="str">
        <f>VLOOKUP($E19,Hinnad!$A$2:$E$520,3)</f>
        <v>tk</v>
      </c>
      <c r="J19" s="182">
        <f>VLOOKUP($E19,Hinnad!$A$2:$E$520,4)</f>
        <v>1000</v>
      </c>
      <c r="K19" s="183">
        <f t="shared" si="1"/>
        <v>31000</v>
      </c>
    </row>
    <row r="20" spans="1:11" ht="12.75">
      <c r="A20" s="177" t="s">
        <v>83</v>
      </c>
      <c r="B20" s="177" t="s">
        <v>86</v>
      </c>
      <c r="C20" s="177"/>
      <c r="D20" s="177" t="s">
        <v>88</v>
      </c>
      <c r="E20" s="178">
        <v>201</v>
      </c>
      <c r="F20" s="179" t="str">
        <f>VLOOKUP($E20,Hinnad!$A$2:$E$520,2)</f>
        <v>Veetorustiku rajamine</v>
      </c>
      <c r="G20" s="179"/>
      <c r="H20" s="181">
        <v>1755</v>
      </c>
      <c r="I20" s="182" t="str">
        <f>VLOOKUP($E20,Hinnad!$A$2:$E$520,3)</f>
        <v>m</v>
      </c>
      <c r="J20" s="182">
        <f>VLOOKUP($E20,Hinnad!$A$2:$E$520,4)</f>
        <v>100</v>
      </c>
      <c r="K20" s="183">
        <f t="shared" si="1"/>
        <v>175500</v>
      </c>
    </row>
    <row r="21" spans="1:11" ht="25.5">
      <c r="A21" s="177" t="s">
        <v>83</v>
      </c>
      <c r="B21" s="177" t="s">
        <v>86</v>
      </c>
      <c r="C21" s="177"/>
      <c r="D21" s="177" t="s">
        <v>88</v>
      </c>
      <c r="E21" s="178">
        <v>220</v>
      </c>
      <c r="F21" s="179" t="str">
        <f>VLOOKUP($E21,Hinnad!$A$2:$E$520,2)</f>
        <v>Veevarustuse majaühendus (sh tarnetoru, ühendus tänavatorustikuga, maakraan)</v>
      </c>
      <c r="G21" s="179"/>
      <c r="H21" s="181">
        <v>31</v>
      </c>
      <c r="I21" s="182" t="str">
        <f>VLOOKUP($E21,Hinnad!$A$2:$E$520,3)</f>
        <v>tk</v>
      </c>
      <c r="J21" s="182">
        <f>VLOOKUP($E21,Hinnad!$A$2:$E$520,4)</f>
        <v>700</v>
      </c>
      <c r="K21" s="183">
        <f t="shared" si="1"/>
        <v>21700</v>
      </c>
    </row>
    <row r="22" spans="1:11" ht="12.75">
      <c r="A22" s="177" t="s">
        <v>83</v>
      </c>
      <c r="B22" s="177" t="s">
        <v>86</v>
      </c>
      <c r="C22" s="177"/>
      <c r="D22" s="177" t="s">
        <v>88</v>
      </c>
      <c r="E22" s="178">
        <v>115</v>
      </c>
      <c r="F22" s="179" t="str">
        <f>VLOOKUP($E22,Hinnad!$A$2:$E$520,2)</f>
        <v>Tuletõrjehüdrant</v>
      </c>
      <c r="G22" s="179"/>
      <c r="H22" s="181">
        <v>7</v>
      </c>
      <c r="I22" s="182" t="str">
        <f>VLOOKUP($E22,Hinnad!$A$2:$E$520,3)</f>
        <v>tk</v>
      </c>
      <c r="J22" s="182">
        <f>VLOOKUP($E22,Hinnad!$A$2:$E$520,4)</f>
        <v>1500</v>
      </c>
      <c r="K22" s="183">
        <f t="shared" si="1"/>
        <v>10500</v>
      </c>
    </row>
    <row r="23" spans="1:11" ht="12.75">
      <c r="A23" s="177"/>
      <c r="B23" s="177"/>
      <c r="C23" s="177"/>
      <c r="D23" s="177"/>
      <c r="E23" s="178"/>
      <c r="F23" s="179"/>
      <c r="G23" s="179"/>
      <c r="H23" s="181"/>
      <c r="I23" s="182"/>
      <c r="J23" s="182"/>
      <c r="K23" s="183"/>
    </row>
    <row r="24" spans="1:11" ht="12.75">
      <c r="A24" s="177" t="s">
        <v>83</v>
      </c>
      <c r="B24" s="177" t="s">
        <v>200</v>
      </c>
      <c r="C24" s="177"/>
      <c r="D24" s="177" t="s">
        <v>90</v>
      </c>
      <c r="E24" s="178">
        <v>215</v>
      </c>
      <c r="F24" s="179" t="str">
        <f>VLOOKUP($E24,Hinnad!$A$2:$E$520,2)</f>
        <v>Veetorustiku rekonstrueerimine</v>
      </c>
      <c r="G24" s="179"/>
      <c r="H24" s="181">
        <v>780</v>
      </c>
      <c r="I24" s="182" t="str">
        <f>VLOOKUP($E24,Hinnad!$A$2:$E$520,3)</f>
        <v>m</v>
      </c>
      <c r="J24" s="182">
        <f>VLOOKUP($E24,Hinnad!$A$2:$E$520,4)</f>
        <v>100</v>
      </c>
      <c r="K24" s="183">
        <f>H24*J24</f>
        <v>78000</v>
      </c>
    </row>
    <row r="25" spans="1:11" ht="25.5">
      <c r="A25" s="177" t="s">
        <v>83</v>
      </c>
      <c r="B25" s="177" t="s">
        <v>200</v>
      </c>
      <c r="C25" s="177"/>
      <c r="D25" s="177" t="s">
        <v>90</v>
      </c>
      <c r="E25" s="178">
        <v>220</v>
      </c>
      <c r="F25" s="179" t="str">
        <f>VLOOKUP($E25,Hinnad!$A$2:$E$520,2)</f>
        <v>Veevarustuse majaühendus (sh tarnetoru, ühendus tänavatorustikuga, maakraan)</v>
      </c>
      <c r="G25" s="179"/>
      <c r="H25" s="181">
        <v>16</v>
      </c>
      <c r="I25" s="182" t="str">
        <f>VLOOKUP($E25,Hinnad!$A$2:$E$520,3)</f>
        <v>tk</v>
      </c>
      <c r="J25" s="182">
        <f>VLOOKUP($E25,Hinnad!$A$2:$E$520,4)</f>
        <v>700</v>
      </c>
      <c r="K25" s="183">
        <f>H25*J25</f>
        <v>11200</v>
      </c>
    </row>
    <row r="26" spans="1:11" ht="12.75">
      <c r="A26" s="177" t="s">
        <v>83</v>
      </c>
      <c r="B26" s="177" t="s">
        <v>200</v>
      </c>
      <c r="C26" s="177"/>
      <c r="D26" s="177" t="s">
        <v>90</v>
      </c>
      <c r="E26" s="178">
        <v>115</v>
      </c>
      <c r="F26" s="179" t="str">
        <f>VLOOKUP($E26,Hinnad!$A$2:$E$520,2)</f>
        <v>Tuletõrjehüdrant</v>
      </c>
      <c r="G26" s="179"/>
      <c r="H26" s="181">
        <v>2</v>
      </c>
      <c r="I26" s="182" t="str">
        <f>VLOOKUP($E26,Hinnad!$A$2:$E$520,3)</f>
        <v>tk</v>
      </c>
      <c r="J26" s="182">
        <f>VLOOKUP($E26,Hinnad!$A$2:$E$520,4)</f>
        <v>1500</v>
      </c>
      <c r="K26" s="183">
        <f>H26*J26</f>
        <v>3000</v>
      </c>
    </row>
    <row r="27" spans="1:11" ht="12.75">
      <c r="A27" s="177" t="s">
        <v>83</v>
      </c>
      <c r="B27" s="177" t="s">
        <v>200</v>
      </c>
      <c r="C27" s="177"/>
      <c r="D27" s="177" t="s">
        <v>94</v>
      </c>
      <c r="E27" s="178">
        <v>217</v>
      </c>
      <c r="F27" s="179" t="str">
        <f>VLOOKUP($E27,Hinnad!$A$2:$E$520,2)</f>
        <v>Isevoolse torustiku rekonstrueerimine</v>
      </c>
      <c r="G27" s="179"/>
      <c r="H27" s="181">
        <v>610</v>
      </c>
      <c r="I27" s="182" t="str">
        <f>VLOOKUP($E27,Hinnad!$A$2:$E$520,3)</f>
        <v>m</v>
      </c>
      <c r="J27" s="182">
        <f>VLOOKUP($E27,Hinnad!$A$2:$E$520,4)</f>
        <v>120</v>
      </c>
      <c r="K27" s="183">
        <f>H27*J27</f>
        <v>73200</v>
      </c>
    </row>
    <row r="28" spans="1:11" ht="25.5">
      <c r="A28" s="177" t="s">
        <v>83</v>
      </c>
      <c r="B28" s="177" t="s">
        <v>200</v>
      </c>
      <c r="C28" s="177"/>
      <c r="D28" s="177" t="s">
        <v>94</v>
      </c>
      <c r="E28" s="178">
        <v>221</v>
      </c>
      <c r="F28" s="179" t="str">
        <f>VLOOKUP($E28,Hinnad!$A$2:$E$520,2)</f>
        <v>Kanalisatsiooni majaühendus (sh tarnetoru, ühendus tänavatorustikuga, liitumiskaev)</v>
      </c>
      <c r="G28" s="179"/>
      <c r="H28" s="181">
        <v>13</v>
      </c>
      <c r="I28" s="182" t="str">
        <f>VLOOKUP($E28,Hinnad!$A$2:$E$520,3)</f>
        <v>tk</v>
      </c>
      <c r="J28" s="182">
        <f>VLOOKUP($E28,Hinnad!$A$2:$E$520,4)</f>
        <v>1000</v>
      </c>
      <c r="K28" s="183">
        <f>H28*J28</f>
        <v>13000</v>
      </c>
    </row>
    <row r="29" spans="1:11" ht="12.75">
      <c r="A29" s="177"/>
      <c r="B29" s="177"/>
      <c r="C29" s="177"/>
      <c r="D29" s="177"/>
      <c r="E29" s="178"/>
      <c r="F29" s="179"/>
      <c r="G29" s="179"/>
      <c r="H29" s="181"/>
      <c r="I29" s="182"/>
      <c r="J29" s="182"/>
      <c r="K29" s="183"/>
    </row>
    <row r="30" spans="1:11" ht="12.75">
      <c r="A30" s="177" t="s">
        <v>83</v>
      </c>
      <c r="B30" s="177" t="s">
        <v>150</v>
      </c>
      <c r="C30" s="177"/>
      <c r="D30" s="177" t="s">
        <v>87</v>
      </c>
      <c r="E30" s="178">
        <v>205</v>
      </c>
      <c r="F30" s="179" t="str">
        <f>VLOOKUP($E30,Hinnad!$A$2:$E$520,2)</f>
        <v>Isevoolse torustiku rajamine</v>
      </c>
      <c r="G30" s="179"/>
      <c r="H30" s="181">
        <v>60</v>
      </c>
      <c r="I30" s="182" t="str">
        <f>VLOOKUP($E30,Hinnad!$A$2:$E$520,3)</f>
        <v>m</v>
      </c>
      <c r="J30" s="182">
        <f>VLOOKUP($E30,Hinnad!$A$2:$E$520,4)</f>
        <v>120</v>
      </c>
      <c r="K30" s="183">
        <f aca="true" t="shared" si="2" ref="K30:K35">H30*J30</f>
        <v>7200</v>
      </c>
    </row>
    <row r="31" spans="1:11" ht="25.5">
      <c r="A31" s="177" t="s">
        <v>83</v>
      </c>
      <c r="B31" s="177" t="s">
        <v>150</v>
      </c>
      <c r="C31" s="177"/>
      <c r="D31" s="177" t="s">
        <v>87</v>
      </c>
      <c r="E31" s="178">
        <v>221</v>
      </c>
      <c r="F31" s="179" t="str">
        <f>VLOOKUP($E31,Hinnad!$A$2:$E$520,2)</f>
        <v>Kanalisatsiooni majaühendus (sh tarnetoru, ühendus tänavatorustikuga, liitumiskaev)</v>
      </c>
      <c r="G31" s="179"/>
      <c r="H31" s="181">
        <v>2</v>
      </c>
      <c r="I31" s="182" t="str">
        <f>VLOOKUP($E31,Hinnad!$A$2:$E$520,3)</f>
        <v>tk</v>
      </c>
      <c r="J31" s="182">
        <f>VLOOKUP($E31,Hinnad!$A$2:$E$520,4)</f>
        <v>1000</v>
      </c>
      <c r="K31" s="183">
        <f t="shared" si="2"/>
        <v>2000</v>
      </c>
    </row>
    <row r="32" spans="1:11" ht="12.75">
      <c r="A32" s="177" t="s">
        <v>83</v>
      </c>
      <c r="B32" s="177" t="s">
        <v>150</v>
      </c>
      <c r="C32" s="177"/>
      <c r="D32" s="177" t="s">
        <v>87</v>
      </c>
      <c r="E32" s="178">
        <v>302</v>
      </c>
      <c r="F32" s="179" t="str">
        <f>VLOOKUP($E32,Hinnad!$A$2:$E$520,2)</f>
        <v>Reoveepumpla Q &lt; 5 l/s</v>
      </c>
      <c r="G32" s="179"/>
      <c r="H32" s="181">
        <v>1</v>
      </c>
      <c r="I32" s="182" t="str">
        <f>VLOOKUP($E32,Hinnad!$A$2:$E$520,3)</f>
        <v>kmpl</v>
      </c>
      <c r="J32" s="182">
        <f>VLOOKUP($E32,Hinnad!$A$2:$E$520,4)</f>
        <v>25000</v>
      </c>
      <c r="K32" s="183">
        <f t="shared" si="2"/>
        <v>25000</v>
      </c>
    </row>
    <row r="33" spans="1:11" ht="12.75">
      <c r="A33" s="177" t="s">
        <v>83</v>
      </c>
      <c r="B33" s="177" t="s">
        <v>150</v>
      </c>
      <c r="C33" s="177"/>
      <c r="D33" s="177" t="s">
        <v>87</v>
      </c>
      <c r="E33" s="184">
        <v>203</v>
      </c>
      <c r="F33" s="179" t="str">
        <f>VLOOKUP($E33,Hinnad!$A$2:$E$520,2)</f>
        <v>Survekanalisatsiooni rajamine</v>
      </c>
      <c r="G33" s="179"/>
      <c r="H33" s="181">
        <v>120</v>
      </c>
      <c r="I33" s="182" t="str">
        <f>VLOOKUP($E33,Hinnad!$A$2:$E$520,3)</f>
        <v>m</v>
      </c>
      <c r="J33" s="182">
        <f>VLOOKUP($E33,Hinnad!$A$2:$E$520,4)</f>
        <v>90</v>
      </c>
      <c r="K33" s="183">
        <f t="shared" si="2"/>
        <v>10800</v>
      </c>
    </row>
    <row r="34" spans="1:11" ht="12.75">
      <c r="A34" s="177" t="s">
        <v>83</v>
      </c>
      <c r="B34" s="177" t="s">
        <v>200</v>
      </c>
      <c r="C34" s="177"/>
      <c r="D34" s="177" t="s">
        <v>87</v>
      </c>
      <c r="E34" s="178">
        <v>203</v>
      </c>
      <c r="F34" s="179" t="str">
        <f>VLOOKUP($E34,Hinnad!$A$2:$E$520,2)</f>
        <v>Survekanalisatsiooni rajamine</v>
      </c>
      <c r="G34" s="177" t="s">
        <v>97</v>
      </c>
      <c r="H34" s="181">
        <v>120</v>
      </c>
      <c r="I34" s="182" t="str">
        <f>VLOOKUP($E34,Hinnad!$A$2:$E$520,3)</f>
        <v>m</v>
      </c>
      <c r="J34" s="182">
        <f>VLOOKUP($E34,Hinnad!$A$2:$E$520,4)</f>
        <v>90</v>
      </c>
      <c r="K34" s="183">
        <f t="shared" si="2"/>
        <v>10800</v>
      </c>
    </row>
    <row r="35" spans="1:11" ht="25.5">
      <c r="A35" s="177" t="s">
        <v>83</v>
      </c>
      <c r="B35" s="177" t="s">
        <v>200</v>
      </c>
      <c r="C35" s="177"/>
      <c r="D35" s="177" t="s">
        <v>87</v>
      </c>
      <c r="E35" s="184" t="s">
        <v>108</v>
      </c>
      <c r="F35" s="179" t="str">
        <f>VLOOKUP($E35,Hinnad!$A$2:$E$520,2)</f>
        <v>Survekanalisatsiooni majaühendus (sh tarnetoru, ühendus tänavatorustikuga, maakraan</v>
      </c>
      <c r="G35" s="177" t="s">
        <v>97</v>
      </c>
      <c r="H35" s="181">
        <v>2</v>
      </c>
      <c r="I35" s="182" t="str">
        <f>VLOOKUP($E35,Hinnad!$A$2:$E$520,3)</f>
        <v>tk</v>
      </c>
      <c r="J35" s="182">
        <f>VLOOKUP($E35,Hinnad!$A$2:$E$520,4)</f>
        <v>800</v>
      </c>
      <c r="K35" s="183">
        <f t="shared" si="2"/>
        <v>1600</v>
      </c>
    </row>
    <row r="36" spans="1:11" ht="12.75">
      <c r="A36" s="177"/>
      <c r="B36" s="177"/>
      <c r="C36" s="177"/>
      <c r="D36" s="177"/>
      <c r="E36" s="178"/>
      <c r="F36" s="179"/>
      <c r="G36" s="179"/>
      <c r="H36" s="181"/>
      <c r="I36" s="182"/>
      <c r="J36" s="182"/>
      <c r="K36" s="183"/>
    </row>
    <row r="37" spans="1:11" ht="12.75">
      <c r="A37" s="177" t="s">
        <v>83</v>
      </c>
      <c r="B37" s="177" t="s">
        <v>162</v>
      </c>
      <c r="C37" s="177"/>
      <c r="D37" s="177" t="s">
        <v>90</v>
      </c>
      <c r="E37" s="178">
        <v>101</v>
      </c>
      <c r="F37" s="179" t="str">
        <f>VLOOKUP($E37,Hinnad!$A$2:$E$520,2)</f>
        <v>C-V puurkaevu rajamine</v>
      </c>
      <c r="G37" s="179"/>
      <c r="H37" s="181">
        <v>1</v>
      </c>
      <c r="I37" s="182" t="str">
        <f>VLOOKUP($E37,Hinnad!$A$2:$E$520,3)</f>
        <v>tk</v>
      </c>
      <c r="J37" s="182">
        <f>VLOOKUP($E37,Hinnad!$A$2:$E$520,4)</f>
        <v>30000</v>
      </c>
      <c r="K37" s="183">
        <f aca="true" t="shared" si="3" ref="K37:K46">H37*J37</f>
        <v>30000</v>
      </c>
    </row>
    <row r="38" spans="1:11" ht="12.75">
      <c r="A38" s="177" t="s">
        <v>83</v>
      </c>
      <c r="B38" s="177" t="s">
        <v>162</v>
      </c>
      <c r="C38" s="177"/>
      <c r="D38" s="177" t="s">
        <v>90</v>
      </c>
      <c r="E38" s="184" t="s">
        <v>99</v>
      </c>
      <c r="F38" s="179" t="str">
        <f>VLOOKUP($E38,Hinnad!$A$2:$E$520,2)</f>
        <v>Üheastmelise pumpla tehnoloogia (lisaks II astmele)</v>
      </c>
      <c r="G38" s="179"/>
      <c r="H38" s="181">
        <v>1</v>
      </c>
      <c r="I38" s="182" t="str">
        <f>VLOOKUP($E38,Hinnad!$A$2:$E$520,3)</f>
        <v>kmpl</v>
      </c>
      <c r="J38" s="182">
        <f>VLOOKUP($E38,Hinnad!$A$2:$E$520,4)</f>
        <v>15000</v>
      </c>
      <c r="K38" s="183">
        <f>H38*J38</f>
        <v>15000</v>
      </c>
    </row>
    <row r="39" spans="1:11" ht="12.75">
      <c r="A39" s="177" t="s">
        <v>83</v>
      </c>
      <c r="B39" s="177" t="s">
        <v>162</v>
      </c>
      <c r="C39" s="177"/>
      <c r="D39" s="177" t="s">
        <v>90</v>
      </c>
      <c r="E39" s="178">
        <v>108</v>
      </c>
      <c r="F39" s="179" t="str">
        <f>VLOOKUP($E39,Hinnad!$A$2:$E$520,2)</f>
        <v>Veetöötlus (mangaan+raud)</v>
      </c>
      <c r="G39" s="179"/>
      <c r="H39" s="181">
        <v>20</v>
      </c>
      <c r="I39" s="182" t="str">
        <f>VLOOKUP($E39,Hinnad!$A$2:$E$520,3)</f>
        <v>m3/h</v>
      </c>
      <c r="J39" s="182">
        <f>VLOOKUP($E39,Hinnad!$A$2:$E$520,4)</f>
        <v>1500</v>
      </c>
      <c r="K39" s="183">
        <f>H39*J39</f>
        <v>30000</v>
      </c>
    </row>
    <row r="40" spans="1:11" ht="12.75">
      <c r="A40" s="177" t="s">
        <v>83</v>
      </c>
      <c r="B40" s="177" t="s">
        <v>162</v>
      </c>
      <c r="C40" s="177"/>
      <c r="D40" s="177" t="s">
        <v>90</v>
      </c>
      <c r="E40" s="178">
        <v>114</v>
      </c>
      <c r="F40" s="179" t="str">
        <f>VLOOKUP($E40,Hinnad!$A$2:$E$520,2)</f>
        <v>Puhtaveereservuaar (201 + m3)</v>
      </c>
      <c r="G40" s="179"/>
      <c r="H40" s="181">
        <v>300</v>
      </c>
      <c r="I40" s="182" t="str">
        <f>VLOOKUP($E40,Hinnad!$A$2:$E$520,3)</f>
        <v>m3</v>
      </c>
      <c r="J40" s="182">
        <f>VLOOKUP($E40,Hinnad!$A$2:$E$520,4)</f>
        <v>350</v>
      </c>
      <c r="K40" s="183">
        <f t="shared" si="3"/>
        <v>105000</v>
      </c>
    </row>
    <row r="41" spans="1:11" ht="12.75">
      <c r="A41" s="177" t="s">
        <v>83</v>
      </c>
      <c r="B41" s="177" t="s">
        <v>162</v>
      </c>
      <c r="C41" s="177"/>
      <c r="D41" s="177" t="s">
        <v>90</v>
      </c>
      <c r="E41" s="184" t="s">
        <v>61</v>
      </c>
      <c r="F41" s="179" t="str">
        <f>VLOOKUP($E41,Hinnad!$A$2:$E$520,2)</f>
        <v>Teise astme pumpla tehnoloogia (kuni 60 m3/h)</v>
      </c>
      <c r="G41" s="179"/>
      <c r="H41" s="181">
        <v>1</v>
      </c>
      <c r="I41" s="182" t="str">
        <f>VLOOKUP($E41,Hinnad!$A$2:$E$520,3)</f>
        <v>kmpl</v>
      </c>
      <c r="J41" s="182">
        <f>VLOOKUP($E41,Hinnad!$A$2:$E$520,4)</f>
        <v>70000</v>
      </c>
      <c r="K41" s="183">
        <f t="shared" si="3"/>
        <v>70000</v>
      </c>
    </row>
    <row r="42" spans="1:11" ht="12.75">
      <c r="A42" s="177" t="s">
        <v>83</v>
      </c>
      <c r="B42" s="177" t="s">
        <v>162</v>
      </c>
      <c r="C42" s="177"/>
      <c r="D42" s="177" t="s">
        <v>90</v>
      </c>
      <c r="E42" s="178">
        <v>105</v>
      </c>
      <c r="F42" s="179" t="str">
        <f>VLOOKUP($E42,Hinnad!$A$2:$E$520,2)</f>
        <v>Tehnoloogilise hoone rajamine</v>
      </c>
      <c r="G42" s="179"/>
      <c r="H42" s="181">
        <v>36</v>
      </c>
      <c r="I42" s="182" t="str">
        <f>VLOOKUP($E42,Hinnad!$A$2:$E$520,3)</f>
        <v>m2</v>
      </c>
      <c r="J42" s="182">
        <f>VLOOKUP($E42,Hinnad!$A$2:$E$520,4)</f>
        <v>1200</v>
      </c>
      <c r="K42" s="183">
        <f t="shared" si="3"/>
        <v>43200</v>
      </c>
    </row>
    <row r="43" spans="1:11" ht="25.5">
      <c r="A43" s="177" t="s">
        <v>83</v>
      </c>
      <c r="B43" s="177" t="s">
        <v>162</v>
      </c>
      <c r="C43" s="177"/>
      <c r="D43" s="177" t="s">
        <v>90</v>
      </c>
      <c r="E43" s="178"/>
      <c r="F43" s="180" t="s">
        <v>151</v>
      </c>
      <c r="G43" s="180" t="s">
        <v>197</v>
      </c>
      <c r="H43" s="181">
        <v>1</v>
      </c>
      <c r="I43" s="182" t="s">
        <v>5</v>
      </c>
      <c r="J43" s="182">
        <v>10000</v>
      </c>
      <c r="K43" s="183">
        <f>H43*J43</f>
        <v>10000</v>
      </c>
    </row>
    <row r="44" spans="1:11" ht="12" customHeight="1">
      <c r="A44" s="177" t="s">
        <v>83</v>
      </c>
      <c r="B44" s="177" t="s">
        <v>162</v>
      </c>
      <c r="C44" s="177"/>
      <c r="D44" s="177" t="s">
        <v>90</v>
      </c>
      <c r="E44" s="184">
        <v>201</v>
      </c>
      <c r="F44" s="179" t="str">
        <f>VLOOKUP($E44,Hinnad!$A$2:$E$520,2)</f>
        <v>Veetorustiku rajamine</v>
      </c>
      <c r="G44" s="180" t="s">
        <v>143</v>
      </c>
      <c r="H44" s="181">
        <v>290</v>
      </c>
      <c r="I44" s="182" t="str">
        <f>VLOOKUP($E44,Hinnad!$A$2:$E$520,3)</f>
        <v>m</v>
      </c>
      <c r="J44" s="182">
        <f>VLOOKUP($E44,Hinnad!$A$2:$E$520,4)</f>
        <v>100</v>
      </c>
      <c r="K44" s="183">
        <f>H44*J44</f>
        <v>29000</v>
      </c>
    </row>
    <row r="45" spans="1:11" ht="12" customHeight="1">
      <c r="A45" s="177" t="s">
        <v>83</v>
      </c>
      <c r="B45" s="177" t="s">
        <v>162</v>
      </c>
      <c r="C45" s="177"/>
      <c r="D45" s="177" t="s">
        <v>90</v>
      </c>
      <c r="E45" s="184">
        <v>203</v>
      </c>
      <c r="F45" s="179" t="str">
        <f>VLOOKUP($E45,Hinnad!$A$2:$E$520,2)</f>
        <v>Survekanalisatsiooni rajamine</v>
      </c>
      <c r="G45" s="180" t="s">
        <v>149</v>
      </c>
      <c r="H45" s="181">
        <v>220</v>
      </c>
      <c r="I45" s="182" t="str">
        <f>VLOOKUP($E45,Hinnad!$A$2:$E$520,3)</f>
        <v>m</v>
      </c>
      <c r="J45" s="182">
        <f>VLOOKUP($E45,Hinnad!$A$2:$E$520,4)</f>
        <v>90</v>
      </c>
      <c r="K45" s="183">
        <f>H45*J45</f>
        <v>19800</v>
      </c>
    </row>
    <row r="46" spans="1:11" ht="12.75" customHeight="1">
      <c r="A46" s="177" t="s">
        <v>83</v>
      </c>
      <c r="B46" s="177" t="s">
        <v>162</v>
      </c>
      <c r="C46" s="177"/>
      <c r="D46" s="177" t="s">
        <v>90</v>
      </c>
      <c r="E46" s="184">
        <v>205</v>
      </c>
      <c r="F46" s="179" t="str">
        <f>VLOOKUP($E46,Hinnad!$A$2:$E$520,2)</f>
        <v>Isevoolse torustiku rajamine</v>
      </c>
      <c r="G46" s="180" t="s">
        <v>143</v>
      </c>
      <c r="H46" s="181">
        <v>50</v>
      </c>
      <c r="I46" s="182" t="str">
        <f>VLOOKUP($E46,Hinnad!$A$2:$E$520,3)</f>
        <v>m</v>
      </c>
      <c r="J46" s="182">
        <f>VLOOKUP($E46,Hinnad!$A$2:$E$520,4)</f>
        <v>120</v>
      </c>
      <c r="K46" s="183">
        <f t="shared" si="3"/>
        <v>6000</v>
      </c>
    </row>
    <row r="47" spans="1:11" ht="12.75">
      <c r="A47" s="177" t="s">
        <v>83</v>
      </c>
      <c r="B47" s="177" t="s">
        <v>162</v>
      </c>
      <c r="C47" s="177"/>
      <c r="D47" s="177" t="s">
        <v>90</v>
      </c>
      <c r="E47" s="184"/>
      <c r="F47" s="180" t="s">
        <v>210</v>
      </c>
      <c r="G47" s="179"/>
      <c r="H47" s="181">
        <v>1</v>
      </c>
      <c r="I47" s="185">
        <v>1</v>
      </c>
      <c r="J47" s="185">
        <v>15000</v>
      </c>
      <c r="K47" s="183">
        <f>H47*J47</f>
        <v>15000</v>
      </c>
    </row>
    <row r="49" spans="1:11" ht="12" customHeight="1">
      <c r="A49" s="177" t="s">
        <v>101</v>
      </c>
      <c r="B49" s="177" t="s">
        <v>96</v>
      </c>
      <c r="C49" s="177"/>
      <c r="D49" s="177" t="s">
        <v>94</v>
      </c>
      <c r="E49" s="184">
        <v>217</v>
      </c>
      <c r="F49" s="179" t="str">
        <f>VLOOKUP($E49,Hinnad!$A$2:$E$520,2)</f>
        <v>Isevoolse torustiku rekonstrueerimine</v>
      </c>
      <c r="G49" s="179"/>
      <c r="H49" s="181">
        <v>550</v>
      </c>
      <c r="I49" s="182" t="str">
        <f>VLOOKUP($E49,Hinnad!$A$2:$E$520,3)</f>
        <v>m</v>
      </c>
      <c r="J49" s="182">
        <f>VLOOKUP($E49,Hinnad!$A$2:$E$520,4)</f>
        <v>120</v>
      </c>
      <c r="K49" s="183">
        <f>H49*J49</f>
        <v>66000</v>
      </c>
    </row>
    <row r="50" spans="1:11" ht="12" customHeight="1">
      <c r="A50" s="177" t="s">
        <v>101</v>
      </c>
      <c r="B50" s="177" t="s">
        <v>178</v>
      </c>
      <c r="C50" s="177"/>
      <c r="D50" s="177" t="s">
        <v>94</v>
      </c>
      <c r="E50" s="184"/>
      <c r="F50" s="179" t="s">
        <v>126</v>
      </c>
      <c r="G50" s="179"/>
      <c r="H50" s="181">
        <v>1</v>
      </c>
      <c r="I50" s="182" t="s">
        <v>5</v>
      </c>
      <c r="J50" s="182">
        <v>20000</v>
      </c>
      <c r="K50" s="183">
        <f>H50*J50</f>
        <v>20000</v>
      </c>
    </row>
    <row r="52" spans="1:11" ht="12" customHeight="1">
      <c r="A52" s="177" t="s">
        <v>134</v>
      </c>
      <c r="B52" s="177" t="s">
        <v>176</v>
      </c>
      <c r="C52" s="177"/>
      <c r="D52" s="177" t="s">
        <v>94</v>
      </c>
      <c r="E52" s="184">
        <v>217</v>
      </c>
      <c r="F52" s="179" t="str">
        <f>VLOOKUP($E52,Hinnad!$A$2:$E$520,2)</f>
        <v>Isevoolse torustiku rekonstrueerimine</v>
      </c>
      <c r="G52" s="179"/>
      <c r="H52" s="181">
        <v>1430</v>
      </c>
      <c r="I52" s="182" t="str">
        <f>VLOOKUP($E52,Hinnad!$A$2:$E$520,3)</f>
        <v>m</v>
      </c>
      <c r="J52" s="182">
        <f>VLOOKUP($E52,Hinnad!$A$2:$E$520,4)</f>
        <v>120</v>
      </c>
      <c r="K52" s="183">
        <f>H52*J52</f>
        <v>171600</v>
      </c>
    </row>
    <row r="53" spans="1:11" ht="12" customHeight="1">
      <c r="A53" s="177" t="s">
        <v>134</v>
      </c>
      <c r="B53" s="177" t="s">
        <v>176</v>
      </c>
      <c r="C53" s="177"/>
      <c r="D53" s="177" t="s">
        <v>90</v>
      </c>
      <c r="E53" s="184">
        <v>215</v>
      </c>
      <c r="F53" s="179" t="str">
        <f>VLOOKUP($E53,Hinnad!$A$2:$E$520,2)</f>
        <v>Veetorustiku rekonstrueerimine</v>
      </c>
      <c r="G53" s="179"/>
      <c r="H53" s="181">
        <f>990+190</f>
        <v>1180</v>
      </c>
      <c r="I53" s="182" t="str">
        <f>VLOOKUP($E53,Hinnad!$A$2:$E$520,3)</f>
        <v>m</v>
      </c>
      <c r="J53" s="182">
        <f>VLOOKUP($E53,Hinnad!$A$2:$E$520,4)</f>
        <v>100</v>
      </c>
      <c r="K53" s="183">
        <f>H53*J53</f>
        <v>118000</v>
      </c>
    </row>
    <row r="54" spans="1:11" ht="12" customHeight="1">
      <c r="A54" s="177" t="s">
        <v>134</v>
      </c>
      <c r="B54" s="177" t="s">
        <v>176</v>
      </c>
      <c r="C54" s="177"/>
      <c r="D54" s="177" t="s">
        <v>90</v>
      </c>
      <c r="E54" s="184">
        <v>115</v>
      </c>
      <c r="F54" s="179" t="str">
        <f>VLOOKUP($E54,Hinnad!$A$2:$E$520,2)</f>
        <v>Tuletõrjehüdrant</v>
      </c>
      <c r="G54" s="179"/>
      <c r="H54" s="181">
        <v>5</v>
      </c>
      <c r="I54" s="182" t="str">
        <f>VLOOKUP($E54,Hinnad!$A$2:$E$520,3)</f>
        <v>tk</v>
      </c>
      <c r="J54" s="182">
        <f>VLOOKUP($E54,Hinnad!$A$2:$E$520,4)</f>
        <v>1500</v>
      </c>
      <c r="K54" s="183">
        <f>H54*J54</f>
        <v>7500</v>
      </c>
    </row>
    <row r="56" spans="1:11" ht="12.75">
      <c r="A56" s="177" t="s">
        <v>102</v>
      </c>
      <c r="B56" s="177" t="s">
        <v>103</v>
      </c>
      <c r="C56" s="177"/>
      <c r="D56" s="177" t="s">
        <v>90</v>
      </c>
      <c r="E56" s="178">
        <v>215</v>
      </c>
      <c r="F56" s="179" t="str">
        <f>VLOOKUP($E56,Hinnad!$A$2:$E$520,2)</f>
        <v>Veetorustiku rekonstrueerimine</v>
      </c>
      <c r="G56" s="179"/>
      <c r="H56" s="181">
        <v>900</v>
      </c>
      <c r="I56" s="182" t="str">
        <f>VLOOKUP($E56,Hinnad!$A$2:$E$520,3)</f>
        <v>m</v>
      </c>
      <c r="J56" s="182">
        <f>VLOOKUP($E56,Hinnad!$A$2:$E$520,4)</f>
        <v>100</v>
      </c>
      <c r="K56" s="183">
        <f aca="true" t="shared" si="4" ref="K56:K65">H56*J56</f>
        <v>90000</v>
      </c>
    </row>
    <row r="57" spans="1:11" ht="25.5">
      <c r="A57" s="177" t="s">
        <v>102</v>
      </c>
      <c r="B57" s="177" t="s">
        <v>103</v>
      </c>
      <c r="C57" s="177"/>
      <c r="D57" s="177" t="s">
        <v>90</v>
      </c>
      <c r="E57" s="178">
        <v>220</v>
      </c>
      <c r="F57" s="179" t="str">
        <f>VLOOKUP($E57,Hinnad!$A$2:$E$520,2)</f>
        <v>Veevarustuse majaühendus (sh tarnetoru, ühendus tänavatorustikuga, maakraan)</v>
      </c>
      <c r="G57" s="179"/>
      <c r="H57" s="181">
        <v>20</v>
      </c>
      <c r="I57" s="182" t="str">
        <f>VLOOKUP($E57,Hinnad!$A$2:$E$520,3)</f>
        <v>tk</v>
      </c>
      <c r="J57" s="182">
        <f>VLOOKUP($E57,Hinnad!$A$2:$E$520,4)</f>
        <v>700</v>
      </c>
      <c r="K57" s="183">
        <f>H57*J57</f>
        <v>14000</v>
      </c>
    </row>
    <row r="58" spans="1:11" ht="12.75">
      <c r="A58" s="177" t="s">
        <v>102</v>
      </c>
      <c r="B58" s="177" t="s">
        <v>103</v>
      </c>
      <c r="C58" s="177"/>
      <c r="D58" s="177" t="s">
        <v>94</v>
      </c>
      <c r="E58" s="178">
        <v>217</v>
      </c>
      <c r="F58" s="179" t="str">
        <f>VLOOKUP($E58,Hinnad!$A$2:$E$520,2)</f>
        <v>Isevoolse torustiku rekonstrueerimine</v>
      </c>
      <c r="G58" s="179"/>
      <c r="H58" s="181">
        <v>1250</v>
      </c>
      <c r="I58" s="182" t="str">
        <f>VLOOKUP($E58,Hinnad!$A$2:$E$520,3)</f>
        <v>m</v>
      </c>
      <c r="J58" s="182">
        <f>VLOOKUP($E58,Hinnad!$A$2:$E$520,4)</f>
        <v>120</v>
      </c>
      <c r="K58" s="183">
        <f t="shared" si="4"/>
        <v>150000</v>
      </c>
    </row>
    <row r="59" spans="1:11" ht="25.5">
      <c r="A59" s="177" t="s">
        <v>102</v>
      </c>
      <c r="B59" s="177" t="s">
        <v>103</v>
      </c>
      <c r="C59" s="177"/>
      <c r="D59" s="177" t="s">
        <v>90</v>
      </c>
      <c r="E59" s="178">
        <v>221</v>
      </c>
      <c r="F59" s="179" t="str">
        <f>VLOOKUP($E59,Hinnad!$A$2:$E$520,2)</f>
        <v>Kanalisatsiooni majaühendus (sh tarnetoru, ühendus tänavatorustikuga, liitumiskaev)</v>
      </c>
      <c r="G59" s="179"/>
      <c r="H59" s="181">
        <v>20</v>
      </c>
      <c r="I59" s="182" t="str">
        <f>VLOOKUP($E59,Hinnad!$A$2:$E$520,3)</f>
        <v>tk</v>
      </c>
      <c r="J59" s="182">
        <f>VLOOKUP($E59,Hinnad!$A$2:$E$520,4)</f>
        <v>1000</v>
      </c>
      <c r="K59" s="183">
        <f t="shared" si="4"/>
        <v>20000</v>
      </c>
    </row>
    <row r="60" spans="1:11" ht="12.75">
      <c r="A60" s="177" t="s">
        <v>102</v>
      </c>
      <c r="B60" s="177" t="s">
        <v>103</v>
      </c>
      <c r="C60" s="177"/>
      <c r="D60" s="177" t="s">
        <v>94</v>
      </c>
      <c r="E60" s="178">
        <v>219</v>
      </c>
      <c r="F60" s="179" t="str">
        <f>VLOOKUP($E60,Hinnad!$A$2:$E$520,2)</f>
        <v>Survekanalisatsiooni rekonstrueerimine</v>
      </c>
      <c r="G60" s="179" t="s">
        <v>161</v>
      </c>
      <c r="H60" s="181">
        <v>155</v>
      </c>
      <c r="I60" s="182" t="str">
        <f>VLOOKUP($E60,Hinnad!$A$2:$E$520,3)</f>
        <v>m</v>
      </c>
      <c r="J60" s="182">
        <f>VLOOKUP($E60,Hinnad!$A$2:$E$520,4)</f>
        <v>90</v>
      </c>
      <c r="K60" s="183">
        <f>H60*J60</f>
        <v>13950</v>
      </c>
    </row>
    <row r="61" spans="1:11" ht="12.75">
      <c r="A61" s="177" t="s">
        <v>102</v>
      </c>
      <c r="B61" s="177" t="s">
        <v>104</v>
      </c>
      <c r="C61" s="177"/>
      <c r="D61" s="177" t="s">
        <v>90</v>
      </c>
      <c r="E61" s="178">
        <v>201</v>
      </c>
      <c r="F61" s="179" t="str">
        <f>VLOOKUP($E61,Hinnad!$A$2:$E$520,2)</f>
        <v>Veetorustiku rajamine</v>
      </c>
      <c r="G61" s="179"/>
      <c r="H61" s="181">
        <v>800</v>
      </c>
      <c r="I61" s="182" t="str">
        <f>VLOOKUP($E61,Hinnad!$A$2:$E$520,3)</f>
        <v>m</v>
      </c>
      <c r="J61" s="182">
        <f>VLOOKUP($E61,Hinnad!$A$2:$E$520,4)</f>
        <v>100</v>
      </c>
      <c r="K61" s="183">
        <f t="shared" si="4"/>
        <v>80000</v>
      </c>
    </row>
    <row r="62" spans="1:11" ht="12.75">
      <c r="A62" s="177" t="s">
        <v>102</v>
      </c>
      <c r="B62" s="177" t="s">
        <v>104</v>
      </c>
      <c r="C62" s="177"/>
      <c r="D62" s="177" t="s">
        <v>94</v>
      </c>
      <c r="E62" s="178">
        <v>205</v>
      </c>
      <c r="F62" s="179" t="str">
        <f>VLOOKUP($E62,Hinnad!$A$2:$E$520,2)</f>
        <v>Isevoolse torustiku rajamine</v>
      </c>
      <c r="G62" s="179"/>
      <c r="H62" s="181">
        <v>380</v>
      </c>
      <c r="I62" s="182" t="str">
        <f>VLOOKUP($E62,Hinnad!$A$2:$E$520,3)</f>
        <v>m</v>
      </c>
      <c r="J62" s="182">
        <f>VLOOKUP($E62,Hinnad!$A$2:$E$520,4)</f>
        <v>120</v>
      </c>
      <c r="K62" s="183">
        <f t="shared" si="4"/>
        <v>45600</v>
      </c>
    </row>
    <row r="63" spans="1:11" ht="12.75">
      <c r="A63" s="177" t="s">
        <v>102</v>
      </c>
      <c r="B63" s="177" t="s">
        <v>104</v>
      </c>
      <c r="C63" s="177"/>
      <c r="D63" s="177" t="s">
        <v>94</v>
      </c>
      <c r="E63" s="178">
        <v>203</v>
      </c>
      <c r="F63" s="179" t="str">
        <f>VLOOKUP($E63,Hinnad!$A$2:$E$520,2)</f>
        <v>Survekanalisatsiooni rajamine</v>
      </c>
      <c r="G63" s="179"/>
      <c r="H63" s="181">
        <v>480</v>
      </c>
      <c r="I63" s="182" t="str">
        <f>VLOOKUP($E63,Hinnad!$A$2:$E$520,3)</f>
        <v>m</v>
      </c>
      <c r="J63" s="182">
        <f>VLOOKUP($E63,Hinnad!$A$2:$E$520,4)</f>
        <v>90</v>
      </c>
      <c r="K63" s="183">
        <f t="shared" si="4"/>
        <v>43200</v>
      </c>
    </row>
    <row r="64" spans="1:11" ht="12.75">
      <c r="A64" s="177" t="s">
        <v>102</v>
      </c>
      <c r="B64" s="177" t="s">
        <v>104</v>
      </c>
      <c r="C64" s="177"/>
      <c r="D64" s="177" t="s">
        <v>94</v>
      </c>
      <c r="E64" s="178">
        <v>203</v>
      </c>
      <c r="F64" s="179" t="str">
        <f>VLOOKUP($E64,Hinnad!$A$2:$E$520,2)</f>
        <v>Survekanalisatsiooni rajamine</v>
      </c>
      <c r="G64" s="179"/>
      <c r="H64" s="181">
        <v>130</v>
      </c>
      <c r="I64" s="182" t="str">
        <f>VLOOKUP($E64,Hinnad!$A$2:$E$520,3)</f>
        <v>m</v>
      </c>
      <c r="J64" s="182">
        <f>VLOOKUP($E64,Hinnad!$A$2:$E$520,4)</f>
        <v>90</v>
      </c>
      <c r="K64" s="183">
        <f t="shared" si="4"/>
        <v>11700</v>
      </c>
    </row>
    <row r="65" spans="1:11" ht="12.75">
      <c r="A65" s="177" t="s">
        <v>102</v>
      </c>
      <c r="B65" s="177" t="s">
        <v>104</v>
      </c>
      <c r="C65" s="177"/>
      <c r="D65" s="177" t="s">
        <v>94</v>
      </c>
      <c r="E65" s="178">
        <v>302</v>
      </c>
      <c r="F65" s="179" t="str">
        <f>VLOOKUP($E65,Hinnad!$A$2:$E$520,2)</f>
        <v>Reoveepumpla Q &lt; 5 l/s</v>
      </c>
      <c r="G65" s="179"/>
      <c r="H65" s="181">
        <v>2</v>
      </c>
      <c r="I65" s="182" t="str">
        <f>VLOOKUP($E65,Hinnad!$A$2:$E$520,3)</f>
        <v>kmpl</v>
      </c>
      <c r="J65" s="182">
        <f>VLOOKUP($E65,Hinnad!$A$2:$E$520,4)</f>
        <v>25000</v>
      </c>
      <c r="K65" s="183">
        <f t="shared" si="4"/>
        <v>50000</v>
      </c>
    </row>
    <row r="67" spans="1:11" ht="12.75">
      <c r="A67" s="177" t="s">
        <v>102</v>
      </c>
      <c r="B67" s="177" t="s">
        <v>105</v>
      </c>
      <c r="C67" s="177"/>
      <c r="D67" s="177" t="s">
        <v>88</v>
      </c>
      <c r="E67" s="178">
        <v>201</v>
      </c>
      <c r="F67" s="179" t="str">
        <f>VLOOKUP($E67,Hinnad!$A$2:$E$520,2)</f>
        <v>Veetorustiku rajamine</v>
      </c>
      <c r="G67" s="179"/>
      <c r="H67" s="181">
        <v>750</v>
      </c>
      <c r="I67" s="182" t="str">
        <f>VLOOKUP($E67,Hinnad!$A$2:$E$520,3)</f>
        <v>m</v>
      </c>
      <c r="J67" s="182">
        <f>VLOOKUP($E67,Hinnad!$A$2:$E$520,4)</f>
        <v>100</v>
      </c>
      <c r="K67" s="183">
        <f aca="true" t="shared" si="5" ref="K67:K72">H67*J67</f>
        <v>75000</v>
      </c>
    </row>
    <row r="68" spans="1:11" ht="12.75">
      <c r="A68" s="177" t="s">
        <v>102</v>
      </c>
      <c r="B68" s="177" t="s">
        <v>105</v>
      </c>
      <c r="C68" s="177"/>
      <c r="D68" s="177" t="s">
        <v>88</v>
      </c>
      <c r="E68" s="178">
        <v>201</v>
      </c>
      <c r="F68" s="179" t="str">
        <f>VLOOKUP($E68,Hinnad!$A$2:$E$520,2)</f>
        <v>Veetorustiku rajamine</v>
      </c>
      <c r="G68" s="179"/>
      <c r="H68" s="181">
        <v>65</v>
      </c>
      <c r="I68" s="182" t="str">
        <f>VLOOKUP($E68,Hinnad!$A$2:$E$520,3)</f>
        <v>m</v>
      </c>
      <c r="J68" s="182">
        <f>VLOOKUP($E68,Hinnad!$A$2:$E$520,4)</f>
        <v>100</v>
      </c>
      <c r="K68" s="183">
        <f t="shared" si="5"/>
        <v>6500</v>
      </c>
    </row>
    <row r="69" spans="1:11" ht="25.5">
      <c r="A69" s="177" t="s">
        <v>102</v>
      </c>
      <c r="B69" s="177" t="s">
        <v>105</v>
      </c>
      <c r="C69" s="177"/>
      <c r="D69" s="177" t="s">
        <v>87</v>
      </c>
      <c r="E69" s="178">
        <v>220</v>
      </c>
      <c r="F69" s="179" t="str">
        <f>VLOOKUP($E69,Hinnad!$A$2:$E$520,2)</f>
        <v>Veevarustuse majaühendus (sh tarnetoru, ühendus tänavatorustikuga, maakraan)</v>
      </c>
      <c r="G69" s="179"/>
      <c r="H69" s="181">
        <v>17</v>
      </c>
      <c r="I69" s="182" t="str">
        <f>VLOOKUP($E69,Hinnad!$A$2:$E$520,3)</f>
        <v>tk</v>
      </c>
      <c r="J69" s="182">
        <f>VLOOKUP($E69,Hinnad!$A$2:$E$520,4)</f>
        <v>700</v>
      </c>
      <c r="K69" s="183">
        <f t="shared" si="5"/>
        <v>11900</v>
      </c>
    </row>
    <row r="70" spans="1:11" ht="12.75">
      <c r="A70" s="177" t="s">
        <v>102</v>
      </c>
      <c r="B70" s="177" t="s">
        <v>105</v>
      </c>
      <c r="C70" s="177"/>
      <c r="D70" s="177" t="s">
        <v>88</v>
      </c>
      <c r="E70" s="178">
        <v>203</v>
      </c>
      <c r="F70" s="179" t="str">
        <f>VLOOKUP($E70,Hinnad!$A$2:$E$520,2)</f>
        <v>Survekanalisatsiooni rajamine</v>
      </c>
      <c r="G70" s="179" t="s">
        <v>106</v>
      </c>
      <c r="H70" s="181">
        <v>750</v>
      </c>
      <c r="I70" s="182" t="str">
        <f>VLOOKUP($E70,Hinnad!$A$2:$E$520,3)</f>
        <v>m</v>
      </c>
      <c r="J70" s="182">
        <f>VLOOKUP($E70,Hinnad!$A$2:$E$520,4)</f>
        <v>90</v>
      </c>
      <c r="K70" s="183">
        <f t="shared" si="5"/>
        <v>67500</v>
      </c>
    </row>
    <row r="71" spans="1:11" ht="12.75">
      <c r="A71" s="177" t="s">
        <v>102</v>
      </c>
      <c r="B71" s="177" t="s">
        <v>105</v>
      </c>
      <c r="C71" s="177"/>
      <c r="D71" s="177" t="s">
        <v>88</v>
      </c>
      <c r="E71" s="178">
        <v>203</v>
      </c>
      <c r="F71" s="179" t="str">
        <f>VLOOKUP($E71,Hinnad!$A$2:$E$520,2)</f>
        <v>Survekanalisatsiooni rajamine</v>
      </c>
      <c r="G71" s="179" t="s">
        <v>106</v>
      </c>
      <c r="H71" s="181">
        <v>80</v>
      </c>
      <c r="I71" s="182" t="str">
        <f>VLOOKUP($E71,Hinnad!$A$2:$E$520,3)</f>
        <v>m</v>
      </c>
      <c r="J71" s="182">
        <f>VLOOKUP($E71,Hinnad!$A$2:$E$520,4)</f>
        <v>90</v>
      </c>
      <c r="K71" s="183">
        <f t="shared" si="5"/>
        <v>7200</v>
      </c>
    </row>
    <row r="72" spans="1:11" ht="25.5">
      <c r="A72" s="177" t="s">
        <v>102</v>
      </c>
      <c r="B72" s="177" t="s">
        <v>105</v>
      </c>
      <c r="C72" s="177"/>
      <c r="D72" s="177" t="s">
        <v>87</v>
      </c>
      <c r="E72" s="184" t="s">
        <v>108</v>
      </c>
      <c r="F72" s="179" t="str">
        <f>VLOOKUP($E72,Hinnad!$A$2:$E$520,2)</f>
        <v>Survekanalisatsiooni majaühendus (sh tarnetoru, ühendus tänavatorustikuga, maakraan</v>
      </c>
      <c r="G72" s="179"/>
      <c r="H72" s="181">
        <v>17</v>
      </c>
      <c r="I72" s="182" t="str">
        <f>VLOOKUP($E72,Hinnad!$A$2:$E$520,3)</f>
        <v>tk</v>
      </c>
      <c r="J72" s="182">
        <f>VLOOKUP($E72,Hinnad!$A$2:$E$520,4)</f>
        <v>800</v>
      </c>
      <c r="K72" s="183">
        <f t="shared" si="5"/>
        <v>13600</v>
      </c>
    </row>
    <row r="73" spans="1:11" ht="12.75">
      <c r="A73" s="177" t="s">
        <v>102</v>
      </c>
      <c r="B73" s="177" t="s">
        <v>159</v>
      </c>
      <c r="C73" s="177"/>
      <c r="D73" s="177" t="s">
        <v>90</v>
      </c>
      <c r="E73" s="184" t="s">
        <v>99</v>
      </c>
      <c r="F73" s="179" t="str">
        <f>VLOOKUP($E73,Hinnad!$A$2:$E$520,2)</f>
        <v>Üheastmelise pumpla tehnoloogia (lisaks II astmele)</v>
      </c>
      <c r="G73" s="179"/>
      <c r="H73" s="181">
        <v>1</v>
      </c>
      <c r="I73" s="182" t="str">
        <f>VLOOKUP($E73,Hinnad!$A$2:$E$520,3)</f>
        <v>kmpl</v>
      </c>
      <c r="J73" s="182">
        <f>VLOOKUP($E73,Hinnad!$A$2:$E$520,4)</f>
        <v>15000</v>
      </c>
      <c r="K73" s="183">
        <f aca="true" t="shared" si="6" ref="K73:K80">H73*J73</f>
        <v>15000</v>
      </c>
    </row>
    <row r="74" spans="1:11" ht="12.75">
      <c r="A74" s="177" t="s">
        <v>102</v>
      </c>
      <c r="B74" s="177" t="s">
        <v>159</v>
      </c>
      <c r="C74" s="177"/>
      <c r="D74" s="177" t="s">
        <v>90</v>
      </c>
      <c r="E74" s="178">
        <v>108</v>
      </c>
      <c r="F74" s="179" t="str">
        <f>VLOOKUP($E74,Hinnad!$A$2:$E$520,2)</f>
        <v>Veetöötlus (mangaan+raud)</v>
      </c>
      <c r="G74" s="179"/>
      <c r="H74" s="181">
        <v>20</v>
      </c>
      <c r="I74" s="182" t="str">
        <f>VLOOKUP($E74,Hinnad!$A$2:$E$520,3)</f>
        <v>m3/h</v>
      </c>
      <c r="J74" s="182">
        <f>VLOOKUP($E74,Hinnad!$A$2:$E$520,4)</f>
        <v>1500</v>
      </c>
      <c r="K74" s="183">
        <f t="shared" si="6"/>
        <v>30000</v>
      </c>
    </row>
    <row r="75" spans="1:11" ht="12.75">
      <c r="A75" s="177" t="s">
        <v>102</v>
      </c>
      <c r="B75" s="177" t="s">
        <v>159</v>
      </c>
      <c r="C75" s="177"/>
      <c r="D75" s="177" t="s">
        <v>90</v>
      </c>
      <c r="E75" s="178">
        <v>114</v>
      </c>
      <c r="F75" s="179" t="str">
        <f>VLOOKUP($E75,Hinnad!$A$2:$E$520,2)</f>
        <v>Puhtaveereservuaar (201 + m3)</v>
      </c>
      <c r="G75" s="179"/>
      <c r="H75" s="181">
        <v>300</v>
      </c>
      <c r="I75" s="182" t="str">
        <f>VLOOKUP($E75,Hinnad!$A$2:$E$520,3)</f>
        <v>m3</v>
      </c>
      <c r="J75" s="182">
        <f>VLOOKUP($E75,Hinnad!$A$2:$E$520,4)</f>
        <v>350</v>
      </c>
      <c r="K75" s="183">
        <f t="shared" si="6"/>
        <v>105000</v>
      </c>
    </row>
    <row r="76" spans="1:11" ht="12.75">
      <c r="A76" s="177" t="s">
        <v>102</v>
      </c>
      <c r="B76" s="177" t="s">
        <v>159</v>
      </c>
      <c r="C76" s="177"/>
      <c r="D76" s="177" t="s">
        <v>90</v>
      </c>
      <c r="E76" s="184" t="s">
        <v>61</v>
      </c>
      <c r="F76" s="179" t="str">
        <f>VLOOKUP($E76,Hinnad!$A$2:$E$520,2)</f>
        <v>Teise astme pumpla tehnoloogia (kuni 60 m3/h)</v>
      </c>
      <c r="G76" s="179"/>
      <c r="H76" s="181">
        <v>1</v>
      </c>
      <c r="I76" s="182" t="str">
        <f>VLOOKUP($E76,Hinnad!$A$2:$E$520,3)</f>
        <v>kmpl</v>
      </c>
      <c r="J76" s="182">
        <f>VLOOKUP($E76,Hinnad!$A$2:$E$520,4)</f>
        <v>70000</v>
      </c>
      <c r="K76" s="183">
        <f t="shared" si="6"/>
        <v>70000</v>
      </c>
    </row>
    <row r="77" spans="1:11" ht="12.75">
      <c r="A77" s="177" t="s">
        <v>102</v>
      </c>
      <c r="B77" s="177" t="s">
        <v>159</v>
      </c>
      <c r="C77" s="177"/>
      <c r="D77" s="177" t="s">
        <v>90</v>
      </c>
      <c r="E77" s="178">
        <v>105</v>
      </c>
      <c r="F77" s="179" t="str">
        <f>VLOOKUP($E77,Hinnad!$A$2:$E$520,2)</f>
        <v>Tehnoloogilise hoone rajamine</v>
      </c>
      <c r="G77" s="179"/>
      <c r="H77" s="181">
        <v>36</v>
      </c>
      <c r="I77" s="182" t="str">
        <f>VLOOKUP($E77,Hinnad!$A$2:$E$520,3)</f>
        <v>m2</v>
      </c>
      <c r="J77" s="182">
        <f>VLOOKUP($E77,Hinnad!$A$2:$E$520,4)</f>
        <v>1200</v>
      </c>
      <c r="K77" s="183">
        <f t="shared" si="6"/>
        <v>43200</v>
      </c>
    </row>
    <row r="78" spans="1:11" ht="12.75">
      <c r="A78" s="177" t="s">
        <v>102</v>
      </c>
      <c r="B78" s="177" t="s">
        <v>159</v>
      </c>
      <c r="C78" s="177"/>
      <c r="D78" s="177" t="s">
        <v>90</v>
      </c>
      <c r="E78" s="178"/>
      <c r="F78" s="180" t="s">
        <v>151</v>
      </c>
      <c r="G78" s="179"/>
      <c r="H78" s="181">
        <v>1</v>
      </c>
      <c r="I78" s="182" t="s">
        <v>5</v>
      </c>
      <c r="J78" s="182">
        <v>10000</v>
      </c>
      <c r="K78" s="183">
        <f>H78*J78</f>
        <v>10000</v>
      </c>
    </row>
    <row r="79" spans="1:11" ht="12.75">
      <c r="A79" s="177" t="s">
        <v>102</v>
      </c>
      <c r="B79" s="177" t="s">
        <v>159</v>
      </c>
      <c r="C79" s="177"/>
      <c r="D79" s="177" t="s">
        <v>90</v>
      </c>
      <c r="E79" s="184"/>
      <c r="F79" s="180" t="s">
        <v>172</v>
      </c>
      <c r="G79" s="179"/>
      <c r="H79" s="181">
        <v>1</v>
      </c>
      <c r="I79" s="185">
        <v>1</v>
      </c>
      <c r="J79" s="185">
        <v>15000</v>
      </c>
      <c r="K79" s="183">
        <f>H79*J79</f>
        <v>15000</v>
      </c>
    </row>
    <row r="80" spans="1:11" ht="25.5">
      <c r="A80" s="177" t="s">
        <v>102</v>
      </c>
      <c r="B80" s="177" t="s">
        <v>190</v>
      </c>
      <c r="C80" s="177"/>
      <c r="D80" s="177" t="s">
        <v>90</v>
      </c>
      <c r="E80" s="178">
        <v>201</v>
      </c>
      <c r="F80" s="179" t="str">
        <f>VLOOKUP($E80,Hinnad!$A$2:$E$520,2)</f>
        <v>Veetorustiku rajamine</v>
      </c>
      <c r="G80" s="179" t="s">
        <v>160</v>
      </c>
      <c r="H80" s="181">
        <v>600</v>
      </c>
      <c r="I80" s="182" t="str">
        <f>VLOOKUP($E80,Hinnad!$A$2:$E$520,3)</f>
        <v>m</v>
      </c>
      <c r="J80" s="182">
        <f>VLOOKUP($E80,Hinnad!$A$2:$E$520,4)</f>
        <v>100</v>
      </c>
      <c r="K80" s="183">
        <f t="shared" si="6"/>
        <v>60000</v>
      </c>
    </row>
    <row r="81" spans="1:11" ht="12.75">
      <c r="A81" s="177" t="s">
        <v>102</v>
      </c>
      <c r="B81" s="177" t="s">
        <v>190</v>
      </c>
      <c r="C81" s="177"/>
      <c r="D81" s="177" t="s">
        <v>94</v>
      </c>
      <c r="E81" s="178">
        <v>203</v>
      </c>
      <c r="F81" s="179" t="str">
        <f>VLOOKUP($E81,Hinnad!$A$2:$E$520,2)</f>
        <v>Survekanalisatsiooni rajamine</v>
      </c>
      <c r="G81" s="179" t="s">
        <v>191</v>
      </c>
      <c r="H81" s="181">
        <v>400</v>
      </c>
      <c r="I81" s="182" t="str">
        <f>VLOOKUP($E81,Hinnad!$A$2:$E$520,3)</f>
        <v>m</v>
      </c>
      <c r="J81" s="182">
        <f>VLOOKUP($E81,Hinnad!$A$2:$E$520,4)</f>
        <v>90</v>
      </c>
      <c r="K81" s="183">
        <f>H81*J81</f>
        <v>36000</v>
      </c>
    </row>
    <row r="82" spans="1:11" ht="12.75">
      <c r="A82" s="177"/>
      <c r="B82" s="177"/>
      <c r="C82" s="177"/>
      <c r="D82" s="177"/>
      <c r="E82" s="178"/>
      <c r="F82" s="180"/>
      <c r="G82" s="179"/>
      <c r="H82" s="181"/>
      <c r="I82" s="182"/>
      <c r="J82" s="182"/>
      <c r="K82" s="183"/>
    </row>
    <row r="83" spans="1:11" ht="12.75">
      <c r="A83" s="177" t="s">
        <v>102</v>
      </c>
      <c r="B83" s="177" t="s">
        <v>167</v>
      </c>
      <c r="C83" s="177"/>
      <c r="D83" s="177" t="s">
        <v>90</v>
      </c>
      <c r="E83" s="184" t="s">
        <v>99</v>
      </c>
      <c r="F83" s="179" t="str">
        <f>VLOOKUP($E83,Hinnad!$A$2:$E$520,2)</f>
        <v>Üheastmelise pumpla tehnoloogia (lisaks II astmele)</v>
      </c>
      <c r="G83" s="179"/>
      <c r="H83" s="181">
        <v>1</v>
      </c>
      <c r="I83" s="182" t="str">
        <f>VLOOKUP($E83,Hinnad!$A$2:$E$520,3)</f>
        <v>kmpl</v>
      </c>
      <c r="J83" s="182">
        <f>VLOOKUP($E83,Hinnad!$A$2:$E$520,4)</f>
        <v>15000</v>
      </c>
      <c r="K83" s="183">
        <f aca="true" t="shared" si="7" ref="K83:K88">H83*J83</f>
        <v>15000</v>
      </c>
    </row>
    <row r="84" spans="1:11" ht="12.75">
      <c r="A84" s="177" t="s">
        <v>102</v>
      </c>
      <c r="B84" s="177" t="s">
        <v>167</v>
      </c>
      <c r="C84" s="177"/>
      <c r="D84" s="177" t="s">
        <v>90</v>
      </c>
      <c r="E84" s="178">
        <v>108</v>
      </c>
      <c r="F84" s="179" t="str">
        <f>VLOOKUP($E84,Hinnad!$A$2:$E$520,2)</f>
        <v>Veetöötlus (mangaan+raud)</v>
      </c>
      <c r="G84" s="179"/>
      <c r="H84" s="181">
        <v>20</v>
      </c>
      <c r="I84" s="182" t="str">
        <f>VLOOKUP($E84,Hinnad!$A$2:$E$520,3)</f>
        <v>m3/h</v>
      </c>
      <c r="J84" s="182">
        <f>VLOOKUP($E84,Hinnad!$A$2:$E$520,4)</f>
        <v>1500</v>
      </c>
      <c r="K84" s="183">
        <f t="shared" si="7"/>
        <v>30000</v>
      </c>
    </row>
    <row r="85" spans="1:11" ht="12.75">
      <c r="A85" s="177" t="s">
        <v>102</v>
      </c>
      <c r="B85" s="177" t="s">
        <v>167</v>
      </c>
      <c r="C85" s="177"/>
      <c r="D85" s="177" t="s">
        <v>90</v>
      </c>
      <c r="E85" s="178">
        <v>114</v>
      </c>
      <c r="F85" s="179" t="str">
        <f>VLOOKUP($E85,Hinnad!$A$2:$E$520,2)</f>
        <v>Puhtaveereservuaar (201 + m3)</v>
      </c>
      <c r="G85" s="179"/>
      <c r="H85" s="181">
        <v>300</v>
      </c>
      <c r="I85" s="182" t="str">
        <f>VLOOKUP($E85,Hinnad!$A$2:$E$520,3)</f>
        <v>m3</v>
      </c>
      <c r="J85" s="182">
        <f>VLOOKUP($E85,Hinnad!$A$2:$E$520,4)</f>
        <v>350</v>
      </c>
      <c r="K85" s="183">
        <f t="shared" si="7"/>
        <v>105000</v>
      </c>
    </row>
    <row r="86" spans="1:11" ht="12.75">
      <c r="A86" s="177" t="s">
        <v>102</v>
      </c>
      <c r="B86" s="177" t="s">
        <v>167</v>
      </c>
      <c r="C86" s="177"/>
      <c r="D86" s="177" t="s">
        <v>90</v>
      </c>
      <c r="E86" s="184" t="s">
        <v>61</v>
      </c>
      <c r="F86" s="179" t="str">
        <f>VLOOKUP($E86,Hinnad!$A$2:$E$520,2)</f>
        <v>Teise astme pumpla tehnoloogia (kuni 60 m3/h)</v>
      </c>
      <c r="G86" s="179"/>
      <c r="H86" s="181">
        <v>1</v>
      </c>
      <c r="I86" s="182" t="str">
        <f>VLOOKUP($E86,Hinnad!$A$2:$E$520,3)</f>
        <v>kmpl</v>
      </c>
      <c r="J86" s="182">
        <f>VLOOKUP($E86,Hinnad!$A$2:$E$520,4)</f>
        <v>70000</v>
      </c>
      <c r="K86" s="183">
        <f t="shared" si="7"/>
        <v>70000</v>
      </c>
    </row>
    <row r="87" spans="1:11" ht="12.75">
      <c r="A87" s="177" t="s">
        <v>102</v>
      </c>
      <c r="B87" s="177" t="s">
        <v>167</v>
      </c>
      <c r="C87" s="177"/>
      <c r="D87" s="177" t="s">
        <v>90</v>
      </c>
      <c r="E87" s="178">
        <v>105</v>
      </c>
      <c r="F87" s="179" t="str">
        <f>VLOOKUP($E87,Hinnad!$A$2:$E$520,2)</f>
        <v>Tehnoloogilise hoone rajamine</v>
      </c>
      <c r="G87" s="179"/>
      <c r="H87" s="181">
        <v>36</v>
      </c>
      <c r="I87" s="182" t="str">
        <f>VLOOKUP($E87,Hinnad!$A$2:$E$520,3)</f>
        <v>m2</v>
      </c>
      <c r="J87" s="182">
        <f>VLOOKUP($E87,Hinnad!$A$2:$E$520,4)</f>
        <v>1200</v>
      </c>
      <c r="K87" s="183">
        <f t="shared" si="7"/>
        <v>43200</v>
      </c>
    </row>
    <row r="88" spans="1:11" ht="12.75">
      <c r="A88" s="177" t="s">
        <v>102</v>
      </c>
      <c r="B88" s="177" t="s">
        <v>167</v>
      </c>
      <c r="C88" s="177"/>
      <c r="D88" s="177" t="s">
        <v>90</v>
      </c>
      <c r="E88" s="178"/>
      <c r="F88" s="180" t="s">
        <v>151</v>
      </c>
      <c r="G88" s="179"/>
      <c r="H88" s="181">
        <v>1</v>
      </c>
      <c r="I88" s="182" t="s">
        <v>5</v>
      </c>
      <c r="J88" s="182">
        <v>10000</v>
      </c>
      <c r="K88" s="183">
        <f t="shared" si="7"/>
        <v>10000</v>
      </c>
    </row>
    <row r="89" spans="1:11" ht="12.75">
      <c r="A89" s="177" t="s">
        <v>102</v>
      </c>
      <c r="B89" s="177" t="s">
        <v>167</v>
      </c>
      <c r="C89" s="177"/>
      <c r="D89" s="177" t="s">
        <v>90</v>
      </c>
      <c r="E89" s="184"/>
      <c r="F89" s="180" t="s">
        <v>172</v>
      </c>
      <c r="G89" s="179"/>
      <c r="H89" s="181">
        <v>1</v>
      </c>
      <c r="I89" s="185">
        <v>1</v>
      </c>
      <c r="J89" s="185">
        <v>15000</v>
      </c>
      <c r="K89" s="183">
        <f>H89*J89</f>
        <v>15000</v>
      </c>
    </row>
    <row r="90" spans="1:11" ht="12.75">
      <c r="A90" s="177"/>
      <c r="B90" s="177"/>
      <c r="C90" s="177"/>
      <c r="D90" s="177"/>
      <c r="E90" s="184"/>
      <c r="F90" s="180"/>
      <c r="G90" s="179"/>
      <c r="H90" s="181"/>
      <c r="I90" s="185"/>
      <c r="J90" s="185"/>
      <c r="K90" s="183"/>
    </row>
    <row r="91" spans="1:11" ht="12.75">
      <c r="A91" s="177" t="s">
        <v>164</v>
      </c>
      <c r="B91" s="177" t="s">
        <v>163</v>
      </c>
      <c r="C91" s="177"/>
      <c r="D91" s="177" t="s">
        <v>87</v>
      </c>
      <c r="E91" s="184">
        <v>302</v>
      </c>
      <c r="F91" s="179" t="str">
        <f>VLOOKUP($E91,Hinnad!$A$2:$E$520,2)</f>
        <v>Reoveepumpla Q &lt; 5 l/s</v>
      </c>
      <c r="G91" s="179"/>
      <c r="H91" s="181">
        <v>1</v>
      </c>
      <c r="I91" s="182" t="str">
        <f>VLOOKUP($E91,Hinnad!$A$2:$E$520,3)</f>
        <v>kmpl</v>
      </c>
      <c r="J91" s="182">
        <f>VLOOKUP($E91,Hinnad!$A$2:$E$520,4)</f>
        <v>25000</v>
      </c>
      <c r="K91" s="183">
        <f>H91*J91</f>
        <v>25000</v>
      </c>
    </row>
    <row r="92" spans="1:11" ht="12.75">
      <c r="A92" s="177" t="s">
        <v>164</v>
      </c>
      <c r="B92" s="177" t="s">
        <v>163</v>
      </c>
      <c r="C92" s="177"/>
      <c r="D92" s="177" t="s">
        <v>87</v>
      </c>
      <c r="E92" s="184">
        <v>203</v>
      </c>
      <c r="F92" s="179" t="str">
        <f>VLOOKUP($E92,Hinnad!$A$2:$E$520,2)</f>
        <v>Survekanalisatsiooni rajamine</v>
      </c>
      <c r="G92" s="179"/>
      <c r="H92" s="181">
        <v>500</v>
      </c>
      <c r="I92" s="182" t="str">
        <f>VLOOKUP($E92,Hinnad!$A$2:$E$520,3)</f>
        <v>m</v>
      </c>
      <c r="J92" s="182">
        <f>VLOOKUP($E92,Hinnad!$A$2:$E$520,4)</f>
        <v>90</v>
      </c>
      <c r="K92" s="183">
        <f>H92*J92</f>
        <v>45000</v>
      </c>
    </row>
    <row r="93" spans="1:11" ht="25.5">
      <c r="A93" s="177" t="s">
        <v>164</v>
      </c>
      <c r="B93" s="177" t="s">
        <v>163</v>
      </c>
      <c r="C93" s="177"/>
      <c r="D93" s="177" t="s">
        <v>87</v>
      </c>
      <c r="E93" s="184">
        <v>307</v>
      </c>
      <c r="F93" s="179" t="str">
        <f>VLOOKUP($E93,Hinnad!$A$2:$E$520,2)</f>
        <v>Reoveepuhasti Q = 100-1000 IE tehnoloogiline osa koos paigaldusega</v>
      </c>
      <c r="G93" s="179"/>
      <c r="H93" s="181">
        <v>150</v>
      </c>
      <c r="I93" s="182" t="str">
        <f>VLOOKUP($E93,Hinnad!$A$2:$E$520,3)</f>
        <v>ie</v>
      </c>
      <c r="J93" s="182">
        <f>VLOOKUP($E93,Hinnad!$A$2:$E$520,4)</f>
        <v>600</v>
      </c>
      <c r="K93" s="183">
        <f>H93*J93</f>
        <v>90000</v>
      </c>
    </row>
    <row r="94" spans="1:11" ht="12.75">
      <c r="A94" s="177" t="s">
        <v>164</v>
      </c>
      <c r="B94" s="177" t="s">
        <v>163</v>
      </c>
      <c r="C94" s="177"/>
      <c r="D94" s="177" t="s">
        <v>87</v>
      </c>
      <c r="E94" s="184" t="s">
        <v>110</v>
      </c>
      <c r="F94" s="179" t="str">
        <f>VLOOKUP($E94,Hinnad!$A$2:$E$520,2)</f>
        <v>Reoveepuhasti kaugjuhtimine ja SCADA-ga sidumine</v>
      </c>
      <c r="G94" s="179"/>
      <c r="H94" s="181">
        <v>1</v>
      </c>
      <c r="I94" s="182" t="str">
        <f>VLOOKUP($E94,Hinnad!$A$2:$E$520,3)</f>
        <v>kmpl</v>
      </c>
      <c r="J94" s="182">
        <f>VLOOKUP($E94,Hinnad!$A$2:$E$520,4)</f>
        <v>15000</v>
      </c>
      <c r="K94" s="183">
        <f>H94*J94</f>
        <v>15000</v>
      </c>
    </row>
    <row r="95" spans="1:11" ht="25.5">
      <c r="A95" s="177" t="s">
        <v>164</v>
      </c>
      <c r="B95" s="177" t="s">
        <v>163</v>
      </c>
      <c r="C95" s="177"/>
      <c r="D95" s="177" t="s">
        <v>87</v>
      </c>
      <c r="E95" s="184"/>
      <c r="F95" s="180" t="s">
        <v>112</v>
      </c>
      <c r="G95" s="179"/>
      <c r="H95" s="181">
        <v>1</v>
      </c>
      <c r="I95" s="185">
        <v>1</v>
      </c>
      <c r="J95" s="185">
        <v>15000</v>
      </c>
      <c r="K95" s="183">
        <f>H95*J95</f>
        <v>15000</v>
      </c>
    </row>
    <row r="97" spans="1:11" ht="12.75">
      <c r="A97" s="177" t="s">
        <v>164</v>
      </c>
      <c r="B97" s="177" t="s">
        <v>302</v>
      </c>
      <c r="C97" s="177"/>
      <c r="D97" s="177" t="s">
        <v>87</v>
      </c>
      <c r="E97" s="184">
        <v>302</v>
      </c>
      <c r="F97" s="179" t="str">
        <f>VLOOKUP($E97,Hinnad!$A$2:$E$520,2)</f>
        <v>Reoveepumpla Q &lt; 5 l/s</v>
      </c>
      <c r="G97" s="179"/>
      <c r="H97" s="181">
        <v>1</v>
      </c>
      <c r="I97" s="182" t="str">
        <f>VLOOKUP($E97,Hinnad!$A$2:$E$520,3)</f>
        <v>kmpl</v>
      </c>
      <c r="J97" s="182">
        <f>VLOOKUP($E97,Hinnad!$A$2:$E$520,4)</f>
        <v>25000</v>
      </c>
      <c r="K97" s="183">
        <f>H97*J97</f>
        <v>25000</v>
      </c>
    </row>
    <row r="98" spans="1:11" ht="12.75">
      <c r="A98" s="177" t="s">
        <v>164</v>
      </c>
      <c r="B98" s="177" t="s">
        <v>302</v>
      </c>
      <c r="C98" s="177"/>
      <c r="D98" s="177" t="s">
        <v>87</v>
      </c>
      <c r="E98" s="184">
        <v>203</v>
      </c>
      <c r="F98" s="179" t="str">
        <f>VLOOKUP($E98,Hinnad!$A$2:$E$520,2)</f>
        <v>Survekanalisatsiooni rajamine</v>
      </c>
      <c r="G98" s="179"/>
      <c r="H98" s="181">
        <v>1850</v>
      </c>
      <c r="I98" s="182" t="str">
        <f>VLOOKUP($E98,Hinnad!$A$2:$E$520,3)</f>
        <v>m</v>
      </c>
      <c r="J98" s="182">
        <f>VLOOKUP($E98,Hinnad!$A$2:$E$520,4)</f>
        <v>90</v>
      </c>
      <c r="K98" s="183">
        <f>H98*J98</f>
        <v>166500</v>
      </c>
    </row>
    <row r="100" spans="1:11" ht="25.5">
      <c r="A100" s="177" t="s">
        <v>164</v>
      </c>
      <c r="B100" s="177" t="s">
        <v>165</v>
      </c>
      <c r="C100" s="177"/>
      <c r="D100" s="177" t="s">
        <v>87</v>
      </c>
      <c r="E100" s="184">
        <v>306</v>
      </c>
      <c r="F100" s="179" t="str">
        <f>VLOOKUP($E100,Hinnad!$A$2:$E$520,2)</f>
        <v>Reoveepuhasti Q&lt;100 IE  tehnoloogiline osa koos paigaldusega</v>
      </c>
      <c r="G100" s="179"/>
      <c r="H100" s="181">
        <v>75</v>
      </c>
      <c r="I100" s="182" t="str">
        <f>VLOOKUP($E100,Hinnad!$A$2:$E$520,3)</f>
        <v>ie</v>
      </c>
      <c r="J100" s="182">
        <f>VLOOKUP($E100,Hinnad!$A$2:$E$520,4)</f>
        <v>700</v>
      </c>
      <c r="K100" s="183">
        <f>H100*J100</f>
        <v>52500</v>
      </c>
    </row>
    <row r="101" spans="1:11" ht="12.75">
      <c r="A101" s="177" t="s">
        <v>164</v>
      </c>
      <c r="B101" s="177" t="s">
        <v>165</v>
      </c>
      <c r="C101" s="177"/>
      <c r="D101" s="177" t="s">
        <v>87</v>
      </c>
      <c r="E101" s="184" t="s">
        <v>110</v>
      </c>
      <c r="F101" s="179" t="str">
        <f>VLOOKUP($E101,Hinnad!$A$2:$E$520,2)</f>
        <v>Reoveepuhasti kaugjuhtimine ja SCADA-ga sidumine</v>
      </c>
      <c r="G101" s="179"/>
      <c r="H101" s="181">
        <v>1</v>
      </c>
      <c r="I101" s="182" t="str">
        <f>VLOOKUP($E101,Hinnad!$A$2:$E$520,3)</f>
        <v>kmpl</v>
      </c>
      <c r="J101" s="182">
        <f>VLOOKUP($E101,Hinnad!$A$2:$E$520,4)</f>
        <v>15000</v>
      </c>
      <c r="K101" s="183">
        <f>H101*J101</f>
        <v>15000</v>
      </c>
    </row>
    <row r="102" spans="1:11" ht="25.5">
      <c r="A102" s="177" t="s">
        <v>164</v>
      </c>
      <c r="B102" s="177" t="s">
        <v>165</v>
      </c>
      <c r="C102" s="177"/>
      <c r="D102" s="177" t="s">
        <v>87</v>
      </c>
      <c r="E102" s="184"/>
      <c r="F102" s="180" t="s">
        <v>112</v>
      </c>
      <c r="G102" s="179"/>
      <c r="H102" s="181">
        <v>1</v>
      </c>
      <c r="I102" s="185">
        <v>1</v>
      </c>
      <c r="J102" s="185">
        <v>15000</v>
      </c>
      <c r="K102" s="183">
        <f>H102*J102</f>
        <v>15000</v>
      </c>
    </row>
    <row r="103" spans="1:11" ht="12.75">
      <c r="A103" s="177" t="s">
        <v>164</v>
      </c>
      <c r="B103" s="177" t="s">
        <v>165</v>
      </c>
      <c r="C103" s="177"/>
      <c r="D103" s="177" t="s">
        <v>87</v>
      </c>
      <c r="E103" s="184"/>
      <c r="F103" s="179" t="s">
        <v>169</v>
      </c>
      <c r="G103" s="179"/>
      <c r="H103" s="181">
        <v>500</v>
      </c>
      <c r="I103" s="182" t="s">
        <v>9</v>
      </c>
      <c r="J103" s="182">
        <v>40</v>
      </c>
      <c r="K103" s="183">
        <f>H103*J103</f>
        <v>20000</v>
      </c>
    </row>
    <row r="105" spans="1:11" ht="12.75">
      <c r="A105" s="177" t="s">
        <v>164</v>
      </c>
      <c r="B105" s="177" t="s">
        <v>303</v>
      </c>
      <c r="C105" s="177"/>
      <c r="D105" s="177" t="s">
        <v>87</v>
      </c>
      <c r="E105" s="184" t="s">
        <v>119</v>
      </c>
      <c r="F105" s="179" t="str">
        <f>VLOOKUP($E105,Hinnad!$A$2:$E$520,2)</f>
        <v>Reoveepumpla Q = 5 l/s</v>
      </c>
      <c r="G105" s="179"/>
      <c r="H105" s="181">
        <v>1</v>
      </c>
      <c r="I105" s="182" t="str">
        <f>VLOOKUP($E105,Hinnad!$A$2:$E$520,3)</f>
        <v>kmpl</v>
      </c>
      <c r="J105" s="182">
        <f>VLOOKUP($E105,Hinnad!$A$2:$E$520,4)</f>
        <v>30000</v>
      </c>
      <c r="K105" s="183">
        <f>H105*J105</f>
        <v>30000</v>
      </c>
    </row>
    <row r="106" spans="1:11" ht="12.75">
      <c r="A106" s="177" t="s">
        <v>164</v>
      </c>
      <c r="B106" s="177" t="s">
        <v>303</v>
      </c>
      <c r="C106" s="177"/>
      <c r="D106" s="177" t="s">
        <v>87</v>
      </c>
      <c r="E106" s="184">
        <v>203</v>
      </c>
      <c r="F106" s="179" t="str">
        <f>VLOOKUP($E106,Hinnad!$A$2:$E$520,2)</f>
        <v>Survekanalisatsiooni rajamine</v>
      </c>
      <c r="G106" s="180" t="s">
        <v>214</v>
      </c>
      <c r="H106" s="181">
        <v>2480</v>
      </c>
      <c r="I106" s="182" t="str">
        <f>VLOOKUP($E106,Hinnad!$A$2:$E$520,3)</f>
        <v>m</v>
      </c>
      <c r="J106" s="182">
        <f>VLOOKUP($E106,Hinnad!$A$2:$E$520,4)</f>
        <v>90</v>
      </c>
      <c r="K106" s="183">
        <f>H106*J106</f>
        <v>223200</v>
      </c>
    </row>
    <row r="107" spans="1:11" ht="12.75">
      <c r="A107" s="177" t="s">
        <v>164</v>
      </c>
      <c r="B107" s="177"/>
      <c r="C107" s="177"/>
      <c r="D107" s="177" t="s">
        <v>87</v>
      </c>
      <c r="E107" s="184">
        <v>203</v>
      </c>
      <c r="F107" s="179" t="str">
        <f>VLOOKUP($E107,Hinnad!$A$2:$E$520,2)</f>
        <v>Survekanalisatsiooni rajamine</v>
      </c>
      <c r="G107" s="179" t="s">
        <v>173</v>
      </c>
      <c r="H107" s="181">
        <v>1480</v>
      </c>
      <c r="I107" s="182" t="str">
        <f>VLOOKUP($E107,Hinnad!$A$2:$E$520,3)</f>
        <v>m</v>
      </c>
      <c r="J107" s="182">
        <f>VLOOKUP($E107,Hinnad!$A$2:$E$520,4)</f>
        <v>90</v>
      </c>
      <c r="K107" s="183">
        <f>H107*J107</f>
        <v>133200</v>
      </c>
    </row>
    <row r="109" spans="1:11" ht="25.5">
      <c r="A109" s="177" t="s">
        <v>164</v>
      </c>
      <c r="B109" s="177" t="s">
        <v>166</v>
      </c>
      <c r="C109" s="177"/>
      <c r="D109" s="177" t="s">
        <v>87</v>
      </c>
      <c r="E109" s="184">
        <v>307</v>
      </c>
      <c r="F109" s="179" t="str">
        <f>VLOOKUP($E109,Hinnad!$A$2:$E$520,2)</f>
        <v>Reoveepuhasti Q = 100-1000 IE tehnoloogiline osa koos paigaldusega</v>
      </c>
      <c r="G109" s="179"/>
      <c r="H109" s="181">
        <v>510</v>
      </c>
      <c r="I109" s="182" t="str">
        <f>VLOOKUP($E109,Hinnad!$A$2:$E$520,3)</f>
        <v>ie</v>
      </c>
      <c r="J109" s="182">
        <f>VLOOKUP($E109,Hinnad!$A$2:$E$520,4)</f>
        <v>600</v>
      </c>
      <c r="K109" s="183">
        <f>H109*J109</f>
        <v>306000</v>
      </c>
    </row>
    <row r="110" spans="1:11" ht="12.75">
      <c r="A110" s="177" t="s">
        <v>164</v>
      </c>
      <c r="B110" s="177" t="s">
        <v>166</v>
      </c>
      <c r="C110" s="177"/>
      <c r="D110" s="177" t="s">
        <v>87</v>
      </c>
      <c r="E110" s="184" t="s">
        <v>110</v>
      </c>
      <c r="F110" s="179" t="str">
        <f>VLOOKUP($E110,Hinnad!$A$2:$E$520,2)</f>
        <v>Reoveepuhasti kaugjuhtimine ja SCADA-ga sidumine</v>
      </c>
      <c r="G110" s="179"/>
      <c r="H110" s="181">
        <v>1</v>
      </c>
      <c r="I110" s="182" t="str">
        <f>VLOOKUP($E110,Hinnad!$A$2:$E$520,3)</f>
        <v>kmpl</v>
      </c>
      <c r="J110" s="182">
        <f>VLOOKUP($E110,Hinnad!$A$2:$E$520,4)</f>
        <v>15000</v>
      </c>
      <c r="K110" s="183">
        <f>H110*J110</f>
        <v>15000</v>
      </c>
    </row>
    <row r="111" spans="1:11" ht="12.75">
      <c r="A111" s="177" t="s">
        <v>164</v>
      </c>
      <c r="B111" s="177" t="s">
        <v>166</v>
      </c>
      <c r="C111" s="177"/>
      <c r="D111" s="177" t="s">
        <v>87</v>
      </c>
      <c r="E111" s="184"/>
      <c r="F111" s="180" t="s">
        <v>121</v>
      </c>
      <c r="G111" s="179"/>
      <c r="H111" s="181">
        <v>1</v>
      </c>
      <c r="I111" s="182" t="s">
        <v>5</v>
      </c>
      <c r="J111" s="182">
        <v>5000</v>
      </c>
      <c r="K111" s="183">
        <f>H111*J111</f>
        <v>5000</v>
      </c>
    </row>
    <row r="112" spans="1:11" ht="25.5">
      <c r="A112" s="177" t="s">
        <v>164</v>
      </c>
      <c r="B112" s="177" t="s">
        <v>166</v>
      </c>
      <c r="C112" s="177"/>
      <c r="D112" s="177" t="s">
        <v>87</v>
      </c>
      <c r="E112" s="184"/>
      <c r="F112" s="180" t="s">
        <v>112</v>
      </c>
      <c r="G112" s="179"/>
      <c r="H112" s="181">
        <v>1</v>
      </c>
      <c r="I112" s="185">
        <v>1</v>
      </c>
      <c r="J112" s="185">
        <v>15000</v>
      </c>
      <c r="K112" s="183">
        <f>H112*J112</f>
        <v>15000</v>
      </c>
    </row>
    <row r="113" spans="1:11" ht="12.75">
      <c r="A113" s="177"/>
      <c r="B113" s="177"/>
      <c r="C113" s="177"/>
      <c r="D113" s="177"/>
      <c r="E113" s="184"/>
      <c r="F113" s="179"/>
      <c r="G113" s="179"/>
      <c r="H113" s="181"/>
      <c r="I113" s="182"/>
      <c r="J113" s="182"/>
      <c r="K113" s="183"/>
    </row>
    <row r="114" spans="1:11" ht="12.75">
      <c r="A114" s="177" t="s">
        <v>164</v>
      </c>
      <c r="B114" s="177" t="s">
        <v>304</v>
      </c>
      <c r="C114" s="177"/>
      <c r="D114" s="177" t="s">
        <v>87</v>
      </c>
      <c r="E114" s="184">
        <v>203</v>
      </c>
      <c r="F114" s="179" t="str">
        <f>VLOOKUP($E114,Hinnad!$A$2:$E$520,2)</f>
        <v>Survekanalisatsiooni rajamine</v>
      </c>
      <c r="G114" s="179"/>
      <c r="H114" s="181">
        <v>2200</v>
      </c>
      <c r="I114" s="182" t="str">
        <f>VLOOKUP($E114,Hinnad!$A$2:$E$520,3)</f>
        <v>m</v>
      </c>
      <c r="J114" s="182">
        <f>VLOOKUP($E114,Hinnad!$A$2:$E$520,4)</f>
        <v>90</v>
      </c>
      <c r="K114" s="183">
        <f>H114*J114</f>
        <v>198000</v>
      </c>
    </row>
    <row r="115" spans="1:11" ht="25.5">
      <c r="A115" s="177" t="s">
        <v>164</v>
      </c>
      <c r="B115" s="177" t="s">
        <v>304</v>
      </c>
      <c r="C115" s="177"/>
      <c r="D115" s="177" t="s">
        <v>87</v>
      </c>
      <c r="E115" s="184" t="s">
        <v>115</v>
      </c>
      <c r="F115" s="179" t="str">
        <f>VLOOKUP($E115,Hinnad!$A$2:$E$520,2)</f>
        <v>Reoveepumpla pumbade asendus ja sidumine SCADA-ga</v>
      </c>
      <c r="G115" s="179"/>
      <c r="H115" s="181">
        <v>1</v>
      </c>
      <c r="I115" s="182" t="str">
        <f>VLOOKUP($E115,Hinnad!$A$2:$E$520,3)</f>
        <v>kmpl</v>
      </c>
      <c r="J115" s="182">
        <f>VLOOKUP($E115,Hinnad!$A$2:$E$520,4)</f>
        <v>15000</v>
      </c>
      <c r="K115" s="183">
        <f>H115*J115</f>
        <v>15000</v>
      </c>
    </row>
    <row r="117" spans="1:11" ht="25.5">
      <c r="A117" s="177" t="s">
        <v>174</v>
      </c>
      <c r="B117" s="177" t="s">
        <v>170</v>
      </c>
      <c r="C117" s="177"/>
      <c r="D117" s="177" t="s">
        <v>87</v>
      </c>
      <c r="E117" s="184">
        <v>307</v>
      </c>
      <c r="F117" s="179" t="str">
        <f>VLOOKUP($E117,Hinnad!$A$2:$E$520,2)</f>
        <v>Reoveepuhasti Q = 100-1000 IE tehnoloogiline osa koos paigaldusega</v>
      </c>
      <c r="G117" s="179"/>
      <c r="H117" s="181">
        <v>200</v>
      </c>
      <c r="I117" s="182" t="str">
        <f>VLOOKUP($E117,Hinnad!$A$2:$E$520,3)</f>
        <v>ie</v>
      </c>
      <c r="J117" s="182">
        <f>VLOOKUP($E117,Hinnad!$A$2:$E$520,4)</f>
        <v>600</v>
      </c>
      <c r="K117" s="183">
        <f>H117*J117</f>
        <v>120000</v>
      </c>
    </row>
    <row r="118" spans="1:11" ht="12.75">
      <c r="A118" s="177" t="s">
        <v>174</v>
      </c>
      <c r="B118" s="177" t="s">
        <v>170</v>
      </c>
      <c r="C118" s="177"/>
      <c r="D118" s="177" t="s">
        <v>87</v>
      </c>
      <c r="E118" s="184" t="s">
        <v>110</v>
      </c>
      <c r="F118" s="179" t="str">
        <f>VLOOKUP($E118,Hinnad!$A$2:$E$520,2)</f>
        <v>Reoveepuhasti kaugjuhtimine ja SCADA-ga sidumine</v>
      </c>
      <c r="G118" s="179"/>
      <c r="H118" s="181">
        <v>1</v>
      </c>
      <c r="I118" s="182" t="str">
        <f>VLOOKUP($E118,Hinnad!$A$2:$E$520,3)</f>
        <v>kmpl</v>
      </c>
      <c r="J118" s="182">
        <f>VLOOKUP($E118,Hinnad!$A$2:$E$520,4)</f>
        <v>15000</v>
      </c>
      <c r="K118" s="183">
        <f>H118*J118</f>
        <v>15000</v>
      </c>
    </row>
    <row r="119" spans="1:11" ht="25.5">
      <c r="A119" s="177" t="s">
        <v>174</v>
      </c>
      <c r="B119" s="177" t="s">
        <v>170</v>
      </c>
      <c r="C119" s="177"/>
      <c r="D119" s="177" t="s">
        <v>87</v>
      </c>
      <c r="E119" s="184"/>
      <c r="F119" s="180" t="s">
        <v>112</v>
      </c>
      <c r="G119" s="179"/>
      <c r="H119" s="181">
        <v>1</v>
      </c>
      <c r="I119" s="185">
        <v>1</v>
      </c>
      <c r="J119" s="185">
        <v>15000</v>
      </c>
      <c r="K119" s="183">
        <f>H119*J119</f>
        <v>15000</v>
      </c>
    </row>
    <row r="120" spans="1:11" ht="12.75">
      <c r="A120" s="177" t="s">
        <v>174</v>
      </c>
      <c r="B120" s="177" t="s">
        <v>184</v>
      </c>
      <c r="C120" s="177"/>
      <c r="D120" s="177" t="s">
        <v>87</v>
      </c>
      <c r="E120" s="184">
        <v>203</v>
      </c>
      <c r="F120" s="179" t="str">
        <f>VLOOKUP($E120,Hinnad!$A$2:$E$520,2)</f>
        <v>Survekanalisatsiooni rajamine</v>
      </c>
      <c r="G120" s="179"/>
      <c r="H120" s="181">
        <v>2850</v>
      </c>
      <c r="I120" s="182" t="str">
        <f>VLOOKUP($E120,Hinnad!$A$2:$E$520,3)</f>
        <v>m</v>
      </c>
      <c r="J120" s="182">
        <f>VLOOKUP($E120,Hinnad!$A$2:$E$520,4)</f>
        <v>90</v>
      </c>
      <c r="K120" s="183">
        <f>H120*J120</f>
        <v>256500</v>
      </c>
    </row>
    <row r="122" spans="1:11" ht="12.75">
      <c r="A122" s="177" t="s">
        <v>134</v>
      </c>
      <c r="B122" s="177" t="s">
        <v>124</v>
      </c>
      <c r="C122" s="177"/>
      <c r="D122" s="177" t="s">
        <v>88</v>
      </c>
      <c r="E122" s="178">
        <v>201</v>
      </c>
      <c r="F122" s="179" t="str">
        <f>VLOOKUP($E122,Hinnad!$A$2:$E$520,2)</f>
        <v>Veetorustiku rajamine</v>
      </c>
      <c r="G122" s="179"/>
      <c r="H122" s="181">
        <v>520</v>
      </c>
      <c r="I122" s="182" t="str">
        <f>VLOOKUP($E122,Hinnad!$A$2:$E$520,3)</f>
        <v>m</v>
      </c>
      <c r="J122" s="182">
        <f>VLOOKUP($E122,Hinnad!$A$2:$E$520,4)</f>
        <v>100</v>
      </c>
      <c r="K122" s="183">
        <f>H122*J122</f>
        <v>52000</v>
      </c>
    </row>
    <row r="123" spans="1:11" ht="25.5">
      <c r="A123" s="177" t="s">
        <v>134</v>
      </c>
      <c r="B123" s="177" t="s">
        <v>124</v>
      </c>
      <c r="C123" s="177"/>
      <c r="D123" s="177" t="s">
        <v>88</v>
      </c>
      <c r="E123" s="178">
        <v>220</v>
      </c>
      <c r="F123" s="179" t="str">
        <f>VLOOKUP($E123,Hinnad!$A$2:$E$520,2)</f>
        <v>Veevarustuse majaühendus (sh tarnetoru, ühendus tänavatorustikuga, maakraan)</v>
      </c>
      <c r="G123" s="179"/>
      <c r="H123" s="181">
        <v>17</v>
      </c>
      <c r="I123" s="182" t="str">
        <f>VLOOKUP($E123,Hinnad!$A$2:$E$520,3)</f>
        <v>tk</v>
      </c>
      <c r="J123" s="182">
        <f>VLOOKUP($E123,Hinnad!$A$2:$E$520,4)</f>
        <v>700</v>
      </c>
      <c r="K123" s="183">
        <f>H123*J123</f>
        <v>11900</v>
      </c>
    </row>
    <row r="124" spans="1:11" ht="12.75">
      <c r="A124" s="177" t="s">
        <v>134</v>
      </c>
      <c r="B124" s="177" t="s">
        <v>124</v>
      </c>
      <c r="C124" s="177"/>
      <c r="D124" s="177" t="s">
        <v>87</v>
      </c>
      <c r="E124" s="178">
        <v>205</v>
      </c>
      <c r="F124" s="179" t="str">
        <f>VLOOKUP($E124,Hinnad!$A$2:$E$520,2)</f>
        <v>Isevoolse torustiku rajamine</v>
      </c>
      <c r="G124" s="179"/>
      <c r="H124" s="181">
        <v>520</v>
      </c>
      <c r="I124" s="182" t="str">
        <f>VLOOKUP($E124,Hinnad!$A$2:$E$520,3)</f>
        <v>m</v>
      </c>
      <c r="J124" s="182">
        <f>VLOOKUP($E124,Hinnad!$A$2:$E$520,4)</f>
        <v>120</v>
      </c>
      <c r="K124" s="183">
        <f>H124*J124</f>
        <v>62400</v>
      </c>
    </row>
    <row r="125" spans="1:11" ht="25.5">
      <c r="A125" s="177" t="s">
        <v>134</v>
      </c>
      <c r="B125" s="177" t="s">
        <v>124</v>
      </c>
      <c r="C125" s="177"/>
      <c r="D125" s="177" t="s">
        <v>87</v>
      </c>
      <c r="E125" s="178">
        <v>221</v>
      </c>
      <c r="F125" s="179" t="str">
        <f>VLOOKUP($E125,Hinnad!$A$2:$E$520,2)</f>
        <v>Kanalisatsiooni majaühendus (sh tarnetoru, ühendus tänavatorustikuga, liitumiskaev)</v>
      </c>
      <c r="G125" s="179"/>
      <c r="H125" s="181">
        <v>17</v>
      </c>
      <c r="I125" s="182" t="str">
        <f>VLOOKUP($E125,Hinnad!$A$2:$E$520,3)</f>
        <v>tk</v>
      </c>
      <c r="J125" s="182">
        <f>VLOOKUP($E125,Hinnad!$A$2:$E$520,4)</f>
        <v>1000</v>
      </c>
      <c r="K125" s="183">
        <f>H125*J125</f>
        <v>17000</v>
      </c>
    </row>
    <row r="126" spans="1:11" ht="12.75">
      <c r="A126" s="177" t="s">
        <v>134</v>
      </c>
      <c r="B126" s="177" t="s">
        <v>124</v>
      </c>
      <c r="C126" s="177"/>
      <c r="D126" s="177" t="s">
        <v>87</v>
      </c>
      <c r="E126" s="178">
        <v>302</v>
      </c>
      <c r="F126" s="179" t="str">
        <f>VLOOKUP($E126,Hinnad!$A$2:$E$520,2)</f>
        <v>Reoveepumpla Q &lt; 5 l/s</v>
      </c>
      <c r="G126" s="179"/>
      <c r="H126" s="181">
        <v>1</v>
      </c>
      <c r="I126" s="182" t="str">
        <f>VLOOKUP($E126,Hinnad!$A$2:$E$520,3)</f>
        <v>kmpl</v>
      </c>
      <c r="J126" s="182">
        <f>VLOOKUP($E126,Hinnad!$A$2:$E$520,4)</f>
        <v>25000</v>
      </c>
      <c r="K126" s="183">
        <f>H126*J126</f>
        <v>25000</v>
      </c>
    </row>
    <row r="127" spans="1:11" ht="12.75">
      <c r="A127" s="177" t="s">
        <v>134</v>
      </c>
      <c r="B127" s="177" t="s">
        <v>124</v>
      </c>
      <c r="C127" s="177"/>
      <c r="D127" s="177" t="s">
        <v>87</v>
      </c>
      <c r="E127" s="178">
        <v>203</v>
      </c>
      <c r="F127" s="179" t="str">
        <f>VLOOKUP($E127,Hinnad!$A$2:$E$520,2)</f>
        <v>Survekanalisatsiooni rajamine</v>
      </c>
      <c r="G127" s="179"/>
      <c r="H127" s="181">
        <v>50</v>
      </c>
      <c r="I127" s="182" t="str">
        <f>VLOOKUP($E127,Hinnad!$A$2:$E$520,3)</f>
        <v>m</v>
      </c>
      <c r="J127" s="182">
        <f>VLOOKUP($E127,Hinnad!$A$2:$E$520,4)</f>
        <v>90</v>
      </c>
      <c r="K127" s="183">
        <f aca="true" t="shared" si="8" ref="K127:K133">H127*J127</f>
        <v>4500</v>
      </c>
    </row>
    <row r="128" spans="1:11" ht="12.75">
      <c r="A128" s="177"/>
      <c r="B128" s="177"/>
      <c r="C128" s="177"/>
      <c r="D128" s="177"/>
      <c r="E128" s="178"/>
      <c r="F128" s="179"/>
      <c r="G128" s="179"/>
      <c r="H128" s="181"/>
      <c r="I128" s="182"/>
      <c r="J128" s="182"/>
      <c r="K128" s="183"/>
    </row>
    <row r="129" spans="1:11" ht="12.75">
      <c r="A129" s="177" t="s">
        <v>134</v>
      </c>
      <c r="B129" s="177" t="s">
        <v>124</v>
      </c>
      <c r="C129" s="177"/>
      <c r="D129" s="177" t="s">
        <v>88</v>
      </c>
      <c r="E129" s="178">
        <v>101</v>
      </c>
      <c r="F129" s="179" t="str">
        <f>VLOOKUP($E129,Hinnad!$A$2:$E$520,2)</f>
        <v>C-V puurkaevu rajamine</v>
      </c>
      <c r="G129" s="179"/>
      <c r="H129" s="181">
        <v>1</v>
      </c>
      <c r="I129" s="182" t="str">
        <f>VLOOKUP($E129,Hinnad!$A$2:$E$520,3)</f>
        <v>tk</v>
      </c>
      <c r="J129" s="182">
        <f>VLOOKUP($E129,Hinnad!$A$2:$E$520,4)</f>
        <v>30000</v>
      </c>
      <c r="K129" s="183">
        <f t="shared" si="8"/>
        <v>30000</v>
      </c>
    </row>
    <row r="130" spans="1:11" ht="12.75">
      <c r="A130" s="177" t="s">
        <v>134</v>
      </c>
      <c r="B130" s="177" t="s">
        <v>124</v>
      </c>
      <c r="C130" s="177"/>
      <c r="D130" s="177" t="s">
        <v>88</v>
      </c>
      <c r="E130" s="178">
        <v>108</v>
      </c>
      <c r="F130" s="179" t="str">
        <f>VLOOKUP($E130,Hinnad!$A$2:$E$520,2)</f>
        <v>Veetöötlus (mangaan+raud)</v>
      </c>
      <c r="G130" s="179"/>
      <c r="H130" s="181">
        <v>5</v>
      </c>
      <c r="I130" s="182" t="str">
        <f>VLOOKUP($E130,Hinnad!$A$2:$E$520,3)</f>
        <v>m3/h</v>
      </c>
      <c r="J130" s="182">
        <f>VLOOKUP($E130,Hinnad!$A$2:$E$520,4)</f>
        <v>1500</v>
      </c>
      <c r="K130" s="183">
        <f t="shared" si="8"/>
        <v>7500</v>
      </c>
    </row>
    <row r="131" spans="1:11" ht="12.75">
      <c r="A131" s="177" t="s">
        <v>134</v>
      </c>
      <c r="B131" s="177" t="s">
        <v>124</v>
      </c>
      <c r="C131" s="177"/>
      <c r="D131" s="177" t="s">
        <v>88</v>
      </c>
      <c r="E131" s="178">
        <v>105</v>
      </c>
      <c r="F131" s="179" t="str">
        <f>VLOOKUP($E131,Hinnad!$A$2:$E$520,2)</f>
        <v>Tehnoloogilise hoone rajamine</v>
      </c>
      <c r="G131" s="179"/>
      <c r="H131" s="181">
        <v>20</v>
      </c>
      <c r="I131" s="182" t="str">
        <f>VLOOKUP($E131,Hinnad!$A$2:$E$520,3)</f>
        <v>m2</v>
      </c>
      <c r="J131" s="182">
        <f>VLOOKUP($E131,Hinnad!$A$2:$E$520,4)</f>
        <v>1200</v>
      </c>
      <c r="K131" s="183">
        <f t="shared" si="8"/>
        <v>24000</v>
      </c>
    </row>
    <row r="132" spans="1:11" ht="12.75">
      <c r="A132" s="177" t="s">
        <v>134</v>
      </c>
      <c r="B132" s="177" t="s">
        <v>124</v>
      </c>
      <c r="C132" s="177"/>
      <c r="D132" s="177" t="s">
        <v>88</v>
      </c>
      <c r="E132" s="184">
        <v>103</v>
      </c>
      <c r="F132" s="179" t="str">
        <f>VLOOKUP($E132,Hinnad!$A$2:$E$520,2)</f>
        <v>üheastmelise pumpla tehnoloogia</v>
      </c>
      <c r="G132" s="179"/>
      <c r="H132" s="181">
        <v>1</v>
      </c>
      <c r="I132" s="182" t="str">
        <f>VLOOKUP($E132,Hinnad!$A$2:$E$520,3)</f>
        <v>kmpl</v>
      </c>
      <c r="J132" s="182">
        <f>VLOOKUP($E132,Hinnad!$A$2:$E$520,4)</f>
        <v>20000</v>
      </c>
      <c r="K132" s="183">
        <f t="shared" si="8"/>
        <v>20000</v>
      </c>
    </row>
    <row r="133" spans="1:11" ht="12" customHeight="1">
      <c r="A133" s="177" t="s">
        <v>134</v>
      </c>
      <c r="B133" s="177" t="s">
        <v>124</v>
      </c>
      <c r="C133" s="177"/>
      <c r="D133" s="177" t="s">
        <v>88</v>
      </c>
      <c r="E133" s="184"/>
      <c r="F133" s="180" t="s">
        <v>172</v>
      </c>
      <c r="G133" s="179"/>
      <c r="H133" s="181">
        <v>1</v>
      </c>
      <c r="I133" s="182" t="s">
        <v>5</v>
      </c>
      <c r="J133" s="182">
        <v>15000</v>
      </c>
      <c r="K133" s="183">
        <f t="shared" si="8"/>
        <v>15000</v>
      </c>
    </row>
    <row r="135" spans="1:11" ht="12" customHeight="1">
      <c r="A135" s="177" t="s">
        <v>134</v>
      </c>
      <c r="B135" s="177" t="s">
        <v>182</v>
      </c>
      <c r="C135" s="177"/>
      <c r="D135" s="177" t="s">
        <v>88</v>
      </c>
      <c r="E135" s="184">
        <v>201</v>
      </c>
      <c r="F135" s="179" t="str">
        <f>VLOOKUP($E135,Hinnad!$A$2:$E$520,2)</f>
        <v>Veetorustiku rajamine</v>
      </c>
      <c r="G135" s="179"/>
      <c r="H135" s="181">
        <v>800</v>
      </c>
      <c r="I135" s="182" t="str">
        <f>VLOOKUP($E135,Hinnad!$A$2:$E$520,3)</f>
        <v>m</v>
      </c>
      <c r="J135" s="182">
        <f>VLOOKUP($E135,Hinnad!$A$2:$E$520,4)</f>
        <v>100</v>
      </c>
      <c r="K135" s="183">
        <f>H135*J135</f>
        <v>80000</v>
      </c>
    </row>
    <row r="136" spans="1:11" ht="12" customHeight="1">
      <c r="A136" s="177" t="s">
        <v>134</v>
      </c>
      <c r="B136" s="177" t="s">
        <v>183</v>
      </c>
      <c r="C136" s="177"/>
      <c r="D136" s="177" t="s">
        <v>88</v>
      </c>
      <c r="E136" s="184">
        <v>202</v>
      </c>
      <c r="F136" s="180" t="s">
        <v>135</v>
      </c>
      <c r="G136" s="179"/>
      <c r="H136" s="181">
        <v>1</v>
      </c>
      <c r="I136" s="182" t="s">
        <v>136</v>
      </c>
      <c r="J136" s="182">
        <v>30000</v>
      </c>
      <c r="K136" s="183">
        <f>H136*J136</f>
        <v>30000</v>
      </c>
    </row>
    <row r="138" spans="1:11" ht="25.5">
      <c r="A138" s="177" t="s">
        <v>129</v>
      </c>
      <c r="B138" s="177" t="s">
        <v>133</v>
      </c>
      <c r="C138" s="177"/>
      <c r="D138" s="177" t="s">
        <v>94</v>
      </c>
      <c r="E138" s="184">
        <v>203</v>
      </c>
      <c r="F138" s="179" t="str">
        <f>VLOOKUP($E138,Hinnad!$A$2:$E$520,2)</f>
        <v>Survekanalisatsiooni rajamine</v>
      </c>
      <c r="G138" s="180" t="s">
        <v>131</v>
      </c>
      <c r="H138" s="181">
        <v>590</v>
      </c>
      <c r="I138" s="182" t="str">
        <f>VLOOKUP($E138,Hinnad!$A$2:$E$520,3)</f>
        <v>m</v>
      </c>
      <c r="J138" s="182">
        <v>250</v>
      </c>
      <c r="K138" s="183">
        <f>H138*J138</f>
        <v>147500</v>
      </c>
    </row>
    <row r="139" spans="1:11" ht="12.75">
      <c r="A139" s="177" t="s">
        <v>129</v>
      </c>
      <c r="B139" s="177" t="s">
        <v>133</v>
      </c>
      <c r="C139" s="177"/>
      <c r="D139" s="177" t="s">
        <v>94</v>
      </c>
      <c r="E139" s="184"/>
      <c r="F139" s="180" t="s">
        <v>130</v>
      </c>
      <c r="G139" s="179"/>
      <c r="H139" s="181">
        <v>2</v>
      </c>
      <c r="I139" s="182" t="s">
        <v>5</v>
      </c>
      <c r="J139" s="182">
        <v>5000</v>
      </c>
      <c r="K139" s="183">
        <f>H139*J139</f>
        <v>10000</v>
      </c>
    </row>
    <row r="141" spans="1:11" ht="12.75">
      <c r="A141" s="177" t="s">
        <v>129</v>
      </c>
      <c r="B141" s="177" t="s">
        <v>189</v>
      </c>
      <c r="C141" s="177"/>
      <c r="D141" s="177" t="s">
        <v>94</v>
      </c>
      <c r="E141" s="184">
        <v>217</v>
      </c>
      <c r="F141" s="179" t="str">
        <f>VLOOKUP($E141,Hinnad!$A$2:$E$520,2)</f>
        <v>Isevoolse torustiku rekonstrueerimine</v>
      </c>
      <c r="G141" s="180"/>
      <c r="H141" s="181">
        <v>975</v>
      </c>
      <c r="I141" s="182" t="str">
        <f>VLOOKUP($E141,Hinnad!$A$2:$E$520,3)</f>
        <v>m</v>
      </c>
      <c r="J141" s="182"/>
      <c r="K141" s="183">
        <v>229772</v>
      </c>
    </row>
    <row r="142" spans="1:11" ht="12.75">
      <c r="A142" s="177" t="s">
        <v>129</v>
      </c>
      <c r="B142" s="177" t="s">
        <v>189</v>
      </c>
      <c r="C142" s="177"/>
      <c r="D142" s="177" t="s">
        <v>90</v>
      </c>
      <c r="E142" s="184">
        <v>201</v>
      </c>
      <c r="F142" s="179" t="str">
        <f>VLOOKUP($E142,Hinnad!$A$2:$E$520,2)</f>
        <v>Veetorustiku rajamine</v>
      </c>
      <c r="G142" s="180"/>
      <c r="H142" s="181">
        <v>570</v>
      </c>
      <c r="I142" s="182" t="str">
        <f>VLOOKUP($E142,Hinnad!$A$2:$E$520,3)</f>
        <v>m</v>
      </c>
      <c r="J142" s="182"/>
      <c r="K142" s="183">
        <v>70618</v>
      </c>
    </row>
    <row r="143" spans="1:11" ht="12.75">
      <c r="A143" s="177" t="s">
        <v>129</v>
      </c>
      <c r="B143" s="177" t="s">
        <v>189</v>
      </c>
      <c r="C143" s="177"/>
      <c r="D143" s="177" t="s">
        <v>94</v>
      </c>
      <c r="E143" s="184"/>
      <c r="F143" s="180" t="s">
        <v>157</v>
      </c>
      <c r="G143" s="179"/>
      <c r="H143" s="181">
        <v>1</v>
      </c>
      <c r="I143" s="182" t="s">
        <v>5</v>
      </c>
      <c r="J143" s="182"/>
      <c r="K143" s="183">
        <v>6324</v>
      </c>
    </row>
    <row r="144" spans="1:11" ht="12.75">
      <c r="A144" s="177" t="s">
        <v>129</v>
      </c>
      <c r="B144" s="177" t="s">
        <v>189</v>
      </c>
      <c r="C144" s="177"/>
      <c r="D144" s="177" t="s">
        <v>211</v>
      </c>
      <c r="E144" s="184"/>
      <c r="F144" s="180" t="s">
        <v>213</v>
      </c>
      <c r="G144" s="179"/>
      <c r="H144" s="181">
        <v>1530</v>
      </c>
      <c r="I144" s="182" t="s">
        <v>4</v>
      </c>
      <c r="J144" s="182"/>
      <c r="K144" s="183">
        <f>490025-SUM(K141:K143)</f>
        <v>183311</v>
      </c>
    </row>
    <row r="145" spans="1:11" ht="12.75">
      <c r="A145" s="177" t="s">
        <v>129</v>
      </c>
      <c r="B145" s="177" t="s">
        <v>189</v>
      </c>
      <c r="C145" s="177"/>
      <c r="D145" s="177" t="s">
        <v>94</v>
      </c>
      <c r="E145" s="184"/>
      <c r="F145" s="180" t="s">
        <v>212</v>
      </c>
      <c r="G145" s="179"/>
      <c r="H145" s="181"/>
      <c r="I145" s="182"/>
      <c r="J145" s="182"/>
      <c r="K145" s="183"/>
    </row>
    <row r="146" spans="1:11" ht="12.75">
      <c r="A146" s="177"/>
      <c r="B146" s="177"/>
      <c r="C146" s="177"/>
      <c r="D146" s="177"/>
      <c r="E146" s="184"/>
      <c r="F146" s="180"/>
      <c r="G146" s="179"/>
      <c r="H146" s="181"/>
      <c r="I146" s="182"/>
      <c r="J146" s="182"/>
      <c r="K146" s="183"/>
    </row>
    <row r="147" spans="1:11" ht="12.75">
      <c r="A147" s="177" t="s">
        <v>129</v>
      </c>
      <c r="B147" s="177" t="s">
        <v>137</v>
      </c>
      <c r="C147" s="177"/>
      <c r="D147" s="177" t="s">
        <v>94</v>
      </c>
      <c r="E147" s="184">
        <v>203</v>
      </c>
      <c r="F147" s="179" t="str">
        <f>VLOOKUP($E147,Hinnad!$A$2:$E$520,2)</f>
        <v>Survekanalisatsiooni rajamine</v>
      </c>
      <c r="G147" s="180" t="s">
        <v>138</v>
      </c>
      <c r="H147" s="181">
        <v>2220</v>
      </c>
      <c r="I147" s="182" t="str">
        <f>VLOOKUP($E147,Hinnad!$A$2:$E$520,3)</f>
        <v>m</v>
      </c>
      <c r="J147" s="182">
        <v>150</v>
      </c>
      <c r="K147" s="183">
        <f aca="true" t="shared" si="9" ref="K147:K152">H147*J147</f>
        <v>333000</v>
      </c>
    </row>
    <row r="148" spans="1:11" ht="12.75">
      <c r="A148" s="177" t="s">
        <v>129</v>
      </c>
      <c r="B148" s="177" t="s">
        <v>137</v>
      </c>
      <c r="C148" s="177"/>
      <c r="D148" s="177" t="s">
        <v>94</v>
      </c>
      <c r="E148" s="184">
        <v>203</v>
      </c>
      <c r="F148" s="179" t="str">
        <f>VLOOKUP($E148,Hinnad!$A$2:$E$520,2)</f>
        <v>Survekanalisatsiooni rajamine</v>
      </c>
      <c r="G148" s="180" t="s">
        <v>139</v>
      </c>
      <c r="H148" s="181">
        <v>1201</v>
      </c>
      <c r="I148" s="182" t="str">
        <f>VLOOKUP($E148,Hinnad!$A$2:$E$520,3)</f>
        <v>m</v>
      </c>
      <c r="J148" s="182">
        <v>180</v>
      </c>
      <c r="K148" s="183">
        <f t="shared" si="9"/>
        <v>216180</v>
      </c>
    </row>
    <row r="149" spans="1:11" ht="12.75">
      <c r="A149" s="177" t="s">
        <v>129</v>
      </c>
      <c r="B149" s="177" t="s">
        <v>137</v>
      </c>
      <c r="C149" s="177"/>
      <c r="D149" s="177" t="s">
        <v>94</v>
      </c>
      <c r="E149" s="184">
        <v>203</v>
      </c>
      <c r="F149" s="179" t="str">
        <f>VLOOKUP($E149,Hinnad!$A$2:$E$520,2)</f>
        <v>Survekanalisatsiooni rajamine</v>
      </c>
      <c r="G149" s="180" t="s">
        <v>194</v>
      </c>
      <c r="H149" s="181">
        <v>486</v>
      </c>
      <c r="I149" s="182" t="str">
        <f>VLOOKUP($E149,Hinnad!$A$2:$E$520,3)</f>
        <v>m</v>
      </c>
      <c r="J149" s="182">
        <v>210</v>
      </c>
      <c r="K149" s="183">
        <f t="shared" si="9"/>
        <v>102060</v>
      </c>
    </row>
    <row r="150" spans="1:11" ht="12.75">
      <c r="A150" s="177" t="s">
        <v>129</v>
      </c>
      <c r="B150" s="177" t="s">
        <v>137</v>
      </c>
      <c r="C150" s="177"/>
      <c r="D150" s="177" t="s">
        <v>94</v>
      </c>
      <c r="E150" s="184"/>
      <c r="F150" s="180" t="s">
        <v>140</v>
      </c>
      <c r="G150" s="180"/>
      <c r="H150" s="181">
        <v>8</v>
      </c>
      <c r="I150" s="182" t="s">
        <v>5</v>
      </c>
      <c r="J150" s="182">
        <v>7000</v>
      </c>
      <c r="K150" s="183">
        <f t="shared" si="9"/>
        <v>56000</v>
      </c>
    </row>
    <row r="151" spans="1:11" ht="38.25">
      <c r="A151" s="177" t="s">
        <v>129</v>
      </c>
      <c r="B151" s="177" t="s">
        <v>137</v>
      </c>
      <c r="C151" s="177"/>
      <c r="D151" s="177" t="s">
        <v>94</v>
      </c>
      <c r="E151" s="184"/>
      <c r="F151" s="179" t="s">
        <v>141</v>
      </c>
      <c r="G151" s="180"/>
      <c r="H151" s="181">
        <v>1</v>
      </c>
      <c r="I151" s="182" t="s">
        <v>5</v>
      </c>
      <c r="J151" s="182">
        <v>3000</v>
      </c>
      <c r="K151" s="183">
        <f t="shared" si="9"/>
        <v>3000</v>
      </c>
    </row>
    <row r="152" spans="1:11" ht="25.5">
      <c r="A152" s="177" t="s">
        <v>129</v>
      </c>
      <c r="B152" s="177" t="s">
        <v>137</v>
      </c>
      <c r="C152" s="177"/>
      <c r="D152" s="177" t="s">
        <v>94</v>
      </c>
      <c r="E152" s="184"/>
      <c r="F152" s="179" t="s">
        <v>142</v>
      </c>
      <c r="G152" s="180"/>
      <c r="H152" s="181">
        <v>1</v>
      </c>
      <c r="I152" s="182" t="s">
        <v>5</v>
      </c>
      <c r="J152" s="182">
        <v>3000</v>
      </c>
      <c r="K152" s="183">
        <f t="shared" si="9"/>
        <v>3000</v>
      </c>
    </row>
    <row r="154" spans="1:11" ht="12.75">
      <c r="A154" s="177" t="s">
        <v>129</v>
      </c>
      <c r="B154" s="177" t="s">
        <v>195</v>
      </c>
      <c r="C154" s="177"/>
      <c r="D154" s="177" t="s">
        <v>90</v>
      </c>
      <c r="E154" s="184">
        <v>201</v>
      </c>
      <c r="F154" s="179" t="str">
        <f>VLOOKUP($E154,Hinnad!$A$2:$E$520,2)</f>
        <v>Veetorustiku rajamine</v>
      </c>
      <c r="G154" s="180" t="s">
        <v>192</v>
      </c>
      <c r="H154" s="181">
        <v>370</v>
      </c>
      <c r="I154" s="182" t="str">
        <f>VLOOKUP($E154,Hinnad!$A$2:$E$520,3)</f>
        <v>m</v>
      </c>
      <c r="J154" s="182">
        <f>VLOOKUP($E154,Hinnad!$A$2:$E$520,4)</f>
        <v>100</v>
      </c>
      <c r="K154" s="183">
        <f aca="true" t="shared" si="10" ref="K154:K160">H154*J154</f>
        <v>37000</v>
      </c>
    </row>
    <row r="155" spans="1:11" ht="25.5">
      <c r="A155" s="177" t="s">
        <v>129</v>
      </c>
      <c r="B155" s="177" t="s">
        <v>195</v>
      </c>
      <c r="C155" s="177"/>
      <c r="D155" s="177" t="s">
        <v>90</v>
      </c>
      <c r="E155" s="184">
        <v>220</v>
      </c>
      <c r="F155" s="179" t="str">
        <f>VLOOKUP($E155,Hinnad!$A$2:$E$520,2)</f>
        <v>Veevarustuse majaühendus (sh tarnetoru, ühendus tänavatorustikuga, maakraan)</v>
      </c>
      <c r="G155" s="180" t="s">
        <v>192</v>
      </c>
      <c r="H155" s="181">
        <v>9</v>
      </c>
      <c r="I155" s="182" t="str">
        <f>VLOOKUP($E155,Hinnad!$A$2:$E$520,3)</f>
        <v>tk</v>
      </c>
      <c r="J155" s="182">
        <f>VLOOKUP($E155,Hinnad!$A$2:$E$520,4)</f>
        <v>700</v>
      </c>
      <c r="K155" s="183">
        <f t="shared" si="10"/>
        <v>6300</v>
      </c>
    </row>
    <row r="156" spans="1:11" ht="12.75">
      <c r="A156" s="177" t="s">
        <v>129</v>
      </c>
      <c r="B156" s="177" t="s">
        <v>195</v>
      </c>
      <c r="C156" s="177"/>
      <c r="D156" s="177" t="s">
        <v>90</v>
      </c>
      <c r="E156" s="184">
        <v>201</v>
      </c>
      <c r="F156" s="179" t="str">
        <f>VLOOKUP($E156,Hinnad!$A$2:$E$520,2)</f>
        <v>Veetorustiku rajamine</v>
      </c>
      <c r="G156" s="180" t="s">
        <v>193</v>
      </c>
      <c r="H156" s="181">
        <v>170</v>
      </c>
      <c r="I156" s="182" t="str">
        <f>VLOOKUP($E156,Hinnad!$A$2:$E$520,3)</f>
        <v>m</v>
      </c>
      <c r="J156" s="182">
        <f>VLOOKUP($E156,Hinnad!$A$2:$E$520,4)</f>
        <v>100</v>
      </c>
      <c r="K156" s="183">
        <f t="shared" si="10"/>
        <v>17000</v>
      </c>
    </row>
    <row r="157" spans="1:11" ht="25.5">
      <c r="A157" s="177" t="s">
        <v>129</v>
      </c>
      <c r="B157" s="177" t="s">
        <v>195</v>
      </c>
      <c r="C157" s="177"/>
      <c r="D157" s="177" t="s">
        <v>90</v>
      </c>
      <c r="E157" s="184">
        <v>220</v>
      </c>
      <c r="F157" s="179" t="str">
        <f>VLOOKUP($E157,Hinnad!$A$2:$E$520,2)</f>
        <v>Veevarustuse majaühendus (sh tarnetoru, ühendus tänavatorustikuga, maakraan)</v>
      </c>
      <c r="G157" s="180" t="s">
        <v>193</v>
      </c>
      <c r="H157" s="181">
        <v>8</v>
      </c>
      <c r="I157" s="182" t="str">
        <f>VLOOKUP($E157,Hinnad!$A$2:$E$520,3)</f>
        <v>tk</v>
      </c>
      <c r="J157" s="182">
        <f>VLOOKUP($E157,Hinnad!$A$2:$E$520,4)</f>
        <v>700</v>
      </c>
      <c r="K157" s="183">
        <f t="shared" si="10"/>
        <v>5600</v>
      </c>
    </row>
    <row r="158" spans="1:11" ht="12.75">
      <c r="A158" s="177" t="s">
        <v>129</v>
      </c>
      <c r="B158" s="177" t="s">
        <v>158</v>
      </c>
      <c r="C158" s="177"/>
      <c r="D158" s="177" t="s">
        <v>88</v>
      </c>
      <c r="E158" s="184">
        <v>201</v>
      </c>
      <c r="F158" s="179" t="str">
        <f>VLOOKUP($E158,Hinnad!$A$2:$E$520,2)</f>
        <v>Veetorustiku rajamine</v>
      </c>
      <c r="G158" s="180"/>
      <c r="H158" s="181">
        <v>540</v>
      </c>
      <c r="I158" s="182" t="str">
        <f>VLOOKUP($E158,Hinnad!$A$2:$E$520,3)</f>
        <v>m</v>
      </c>
      <c r="J158" s="182">
        <f>VLOOKUP($E158,Hinnad!$A$2:$E$520,4)</f>
        <v>100</v>
      </c>
      <c r="K158" s="183">
        <f>H158*J158</f>
        <v>54000</v>
      </c>
    </row>
    <row r="159" spans="1:11" ht="12.75">
      <c r="A159" s="177" t="s">
        <v>129</v>
      </c>
      <c r="B159" s="177" t="s">
        <v>181</v>
      </c>
      <c r="C159" s="177"/>
      <c r="D159" s="177" t="s">
        <v>87</v>
      </c>
      <c r="E159" s="184">
        <v>203</v>
      </c>
      <c r="F159" s="179" t="str">
        <f>VLOOKUP($E159,Hinnad!$A$2:$E$520,2)</f>
        <v>Survekanalisatsiooni rajamine</v>
      </c>
      <c r="G159" s="180"/>
      <c r="H159" s="181">
        <v>340</v>
      </c>
      <c r="I159" s="182" t="str">
        <f>VLOOKUP($E159,Hinnad!$A$2:$E$520,3)</f>
        <v>m</v>
      </c>
      <c r="J159" s="182">
        <f>VLOOKUP($E159,Hinnad!$A$2:$E$520,4)</f>
        <v>90</v>
      </c>
      <c r="K159" s="183">
        <f t="shared" si="10"/>
        <v>30600</v>
      </c>
    </row>
    <row r="160" spans="1:11" ht="25.5">
      <c r="A160" s="177" t="s">
        <v>129</v>
      </c>
      <c r="B160" s="177" t="s">
        <v>181</v>
      </c>
      <c r="C160" s="177"/>
      <c r="D160" s="177" t="s">
        <v>87</v>
      </c>
      <c r="E160" s="184" t="s">
        <v>108</v>
      </c>
      <c r="F160" s="179" t="str">
        <f>VLOOKUP($E160,Hinnad!$A$2:$E$520,2)</f>
        <v>Survekanalisatsiooni majaühendus (sh tarnetoru, ühendus tänavatorustikuga, maakraan</v>
      </c>
      <c r="G160" s="180"/>
      <c r="H160" s="181">
        <v>5</v>
      </c>
      <c r="I160" s="182" t="str">
        <f>VLOOKUP($E160,Hinnad!$A$2:$E$520,3)</f>
        <v>tk</v>
      </c>
      <c r="J160" s="182">
        <f>VLOOKUP($E160,Hinnad!$A$2:$E$520,4)</f>
        <v>800</v>
      </c>
      <c r="K160" s="183">
        <f t="shared" si="10"/>
        <v>4000</v>
      </c>
    </row>
    <row r="161" spans="1:11" ht="12.75">
      <c r="A161" s="177" t="s">
        <v>129</v>
      </c>
      <c r="B161" s="177" t="s">
        <v>181</v>
      </c>
      <c r="C161" s="177"/>
      <c r="D161" s="177" t="s">
        <v>90</v>
      </c>
      <c r="E161" s="184">
        <v>201</v>
      </c>
      <c r="F161" s="179" t="str">
        <f>VLOOKUP($E161,Hinnad!$A$2:$E$520,2)</f>
        <v>Veetorustiku rajamine</v>
      </c>
      <c r="G161" s="180"/>
      <c r="H161" s="181">
        <v>340</v>
      </c>
      <c r="I161" s="182" t="str">
        <f>VLOOKUP($E161,Hinnad!$A$2:$E$520,3)</f>
        <v>m</v>
      </c>
      <c r="J161" s="182">
        <f>VLOOKUP($E161,Hinnad!$A$2:$E$520,4)</f>
        <v>100</v>
      </c>
      <c r="K161" s="183">
        <f aca="true" t="shared" si="11" ref="K161:K167">H161*J161</f>
        <v>34000</v>
      </c>
    </row>
    <row r="162" spans="1:11" ht="25.5">
      <c r="A162" s="177" t="s">
        <v>129</v>
      </c>
      <c r="B162" s="177" t="s">
        <v>181</v>
      </c>
      <c r="C162" s="177"/>
      <c r="D162" s="177" t="s">
        <v>90</v>
      </c>
      <c r="E162" s="184">
        <v>220</v>
      </c>
      <c r="F162" s="179" t="str">
        <f>VLOOKUP($E162,Hinnad!$A$2:$E$520,2)</f>
        <v>Veevarustuse majaühendus (sh tarnetoru, ühendus tänavatorustikuga, maakraan)</v>
      </c>
      <c r="G162" s="180"/>
      <c r="H162" s="181">
        <v>5</v>
      </c>
      <c r="I162" s="182" t="str">
        <f>VLOOKUP($E162,Hinnad!$A$2:$E$520,3)</f>
        <v>tk</v>
      </c>
      <c r="J162" s="182">
        <f>VLOOKUP($E162,Hinnad!$A$2:$E$520,4)</f>
        <v>700</v>
      </c>
      <c r="K162" s="183">
        <f t="shared" si="11"/>
        <v>3500</v>
      </c>
    </row>
    <row r="163" spans="1:11" ht="12.75">
      <c r="A163" s="177" t="s">
        <v>129</v>
      </c>
      <c r="B163" s="177" t="s">
        <v>181</v>
      </c>
      <c r="C163" s="177"/>
      <c r="D163" s="177" t="s">
        <v>90</v>
      </c>
      <c r="E163" s="184">
        <v>115</v>
      </c>
      <c r="F163" s="179" t="str">
        <f>VLOOKUP($E163,Hinnad!$A$2:$E$520,2)</f>
        <v>Tuletõrjehüdrant</v>
      </c>
      <c r="G163" s="180"/>
      <c r="H163" s="181">
        <v>2</v>
      </c>
      <c r="I163" s="182" t="str">
        <f>VLOOKUP($E163,Hinnad!$A$2:$E$520,3)</f>
        <v>tk</v>
      </c>
      <c r="J163" s="182">
        <f>VLOOKUP($E163,Hinnad!$A$2:$E$520,4)</f>
        <v>1500</v>
      </c>
      <c r="K163" s="183">
        <f t="shared" si="11"/>
        <v>3000</v>
      </c>
    </row>
    <row r="164" spans="1:11" ht="12.75">
      <c r="A164" s="177" t="s">
        <v>129</v>
      </c>
      <c r="B164" s="177" t="s">
        <v>215</v>
      </c>
      <c r="C164" s="177"/>
      <c r="D164" s="177" t="s">
        <v>87</v>
      </c>
      <c r="E164" s="184">
        <v>205</v>
      </c>
      <c r="F164" s="179" t="str">
        <f>VLOOKUP($E164,Hinnad!$A$2:$E$520,2)</f>
        <v>Isevoolse torustiku rajamine</v>
      </c>
      <c r="G164" s="180"/>
      <c r="H164" s="181">
        <v>235</v>
      </c>
      <c r="I164" s="182" t="str">
        <f>VLOOKUP($E164,Hinnad!$A$2:$E$520,3)</f>
        <v>m</v>
      </c>
      <c r="J164" s="182">
        <f>VLOOKUP($E164,Hinnad!$A$2:$E$520,4)</f>
        <v>120</v>
      </c>
      <c r="K164" s="183">
        <f t="shared" si="11"/>
        <v>28200</v>
      </c>
    </row>
    <row r="165" spans="1:11" ht="12.75">
      <c r="A165" s="177" t="s">
        <v>129</v>
      </c>
      <c r="B165" s="177" t="s">
        <v>215</v>
      </c>
      <c r="C165" s="177"/>
      <c r="D165" s="177" t="s">
        <v>87</v>
      </c>
      <c r="E165" s="184">
        <v>203</v>
      </c>
      <c r="F165" s="179" t="str">
        <f>VLOOKUP($E165,Hinnad!$A$2:$E$520,2)</f>
        <v>Survekanalisatsiooni rajamine</v>
      </c>
      <c r="G165" s="180"/>
      <c r="H165" s="181">
        <v>235</v>
      </c>
      <c r="I165" s="182" t="str">
        <f>VLOOKUP($E165,Hinnad!$A$2:$E$520,3)</f>
        <v>m</v>
      </c>
      <c r="J165" s="182">
        <f>VLOOKUP($E165,Hinnad!$A$2:$E$520,4)</f>
        <v>90</v>
      </c>
      <c r="K165" s="183">
        <f t="shared" si="11"/>
        <v>21150</v>
      </c>
    </row>
    <row r="166" spans="1:11" ht="12.75">
      <c r="A166" s="177" t="s">
        <v>129</v>
      </c>
      <c r="B166" s="177" t="s">
        <v>215</v>
      </c>
      <c r="C166" s="177"/>
      <c r="D166" s="177" t="s">
        <v>87</v>
      </c>
      <c r="E166" s="184" t="s">
        <v>119</v>
      </c>
      <c r="F166" s="179" t="str">
        <f>VLOOKUP($E166,Hinnad!$A$2:$E$520,2)</f>
        <v>Reoveepumpla Q = 5 l/s</v>
      </c>
      <c r="G166" s="180"/>
      <c r="H166" s="181">
        <v>1</v>
      </c>
      <c r="I166" s="182" t="str">
        <f>VLOOKUP($E166,Hinnad!$A$2:$E$520,3)</f>
        <v>kmpl</v>
      </c>
      <c r="J166" s="182">
        <f>VLOOKUP($E166,Hinnad!$A$2:$E$520,4)</f>
        <v>30000</v>
      </c>
      <c r="K166" s="183">
        <f t="shared" si="11"/>
        <v>30000</v>
      </c>
    </row>
    <row r="167" spans="1:11" ht="25.5">
      <c r="A167" s="177" t="s">
        <v>129</v>
      </c>
      <c r="B167" s="177" t="s">
        <v>215</v>
      </c>
      <c r="C167" s="177"/>
      <c r="D167" s="177" t="s">
        <v>87</v>
      </c>
      <c r="E167" s="184">
        <v>221</v>
      </c>
      <c r="F167" s="179" t="str">
        <f>VLOOKUP($E167,Hinnad!$A$2:$E$520,2)</f>
        <v>Kanalisatsiooni majaühendus (sh tarnetoru, ühendus tänavatorustikuga, liitumiskaev)</v>
      </c>
      <c r="G167" s="180"/>
      <c r="H167" s="181">
        <v>5</v>
      </c>
      <c r="I167" s="182" t="str">
        <f>VLOOKUP($E167,Hinnad!$A$2:$E$520,3)</f>
        <v>tk</v>
      </c>
      <c r="J167" s="182">
        <f>VLOOKUP($E167,Hinnad!$A$2:$E$520,4)</f>
        <v>1000</v>
      </c>
      <c r="K167" s="183">
        <f t="shared" si="11"/>
        <v>5000</v>
      </c>
    </row>
    <row r="169" spans="1:11" ht="12.75">
      <c r="A169" s="177" t="s">
        <v>227</v>
      </c>
      <c r="B169" s="177" t="s">
        <v>239</v>
      </c>
      <c r="C169" s="177"/>
      <c r="D169" s="177" t="s">
        <v>88</v>
      </c>
      <c r="E169" s="184">
        <v>201</v>
      </c>
      <c r="F169" s="179" t="str">
        <f>VLOOKUP($E169,Hinnad!$A$2:$E$520,2)</f>
        <v>Veetorustiku rajamine</v>
      </c>
      <c r="G169" s="180"/>
      <c r="H169" s="181">
        <v>7300</v>
      </c>
      <c r="I169" s="182" t="str">
        <f>VLOOKUP($E169,Hinnad!$A$2:$E$520,3)</f>
        <v>m</v>
      </c>
      <c r="J169" s="182">
        <f>VLOOKUP($E169,Hinnad!$A$2:$E$520,4)</f>
        <v>100</v>
      </c>
      <c r="K169" s="183">
        <f>H169*J169</f>
        <v>730000</v>
      </c>
    </row>
    <row r="170" spans="1:11" ht="25.5">
      <c r="A170" s="177" t="s">
        <v>227</v>
      </c>
      <c r="B170" s="177" t="s">
        <v>239</v>
      </c>
      <c r="C170" s="177"/>
      <c r="D170" s="177" t="s">
        <v>88</v>
      </c>
      <c r="E170" s="184">
        <v>220</v>
      </c>
      <c r="F170" s="179" t="str">
        <f>VLOOKUP($E170,Hinnad!$A$2:$E$520,2)</f>
        <v>Veevarustuse majaühendus (sh tarnetoru, ühendus tänavatorustikuga, maakraan)</v>
      </c>
      <c r="G170" s="180"/>
      <c r="H170" s="181">
        <v>293</v>
      </c>
      <c r="I170" s="182" t="str">
        <f>VLOOKUP($E170,Hinnad!$A$2:$E$520,3)</f>
        <v>tk</v>
      </c>
      <c r="J170" s="182">
        <f>VLOOKUP($E170,Hinnad!$A$2:$E$520,4)</f>
        <v>700</v>
      </c>
      <c r="K170" s="183">
        <f aca="true" t="shared" si="12" ref="K170:K179">H170*J170</f>
        <v>205100</v>
      </c>
    </row>
    <row r="171" spans="1:11" ht="12.75">
      <c r="A171" s="177" t="s">
        <v>227</v>
      </c>
      <c r="B171" s="177" t="s">
        <v>239</v>
      </c>
      <c r="C171" s="177"/>
      <c r="D171" s="177" t="s">
        <v>88</v>
      </c>
      <c r="E171" s="184">
        <v>115</v>
      </c>
      <c r="F171" s="179" t="str">
        <f>VLOOKUP($E171,Hinnad!$A$2:$E$520,2)</f>
        <v>Tuletõrjehüdrant</v>
      </c>
      <c r="G171" s="180"/>
      <c r="H171" s="181">
        <v>20</v>
      </c>
      <c r="I171" s="182" t="str">
        <f>VLOOKUP($E171,Hinnad!$A$2:$E$520,3)</f>
        <v>tk</v>
      </c>
      <c r="J171" s="182">
        <f>VLOOKUP($E171,Hinnad!$A$2:$E$520,4)</f>
        <v>1500</v>
      </c>
      <c r="K171" s="183">
        <f t="shared" si="12"/>
        <v>30000</v>
      </c>
    </row>
    <row r="172" spans="1:11" ht="12.75">
      <c r="A172" s="177" t="s">
        <v>227</v>
      </c>
      <c r="B172" s="177" t="s">
        <v>240</v>
      </c>
      <c r="C172" s="177"/>
      <c r="D172" s="177" t="s">
        <v>88</v>
      </c>
      <c r="E172" s="184" t="s">
        <v>99</v>
      </c>
      <c r="F172" s="179" t="str">
        <f>VLOOKUP($E172,Hinnad!$A$2:$E$520,2)</f>
        <v>Üheastmelise pumpla tehnoloogia (lisaks II astmele)</v>
      </c>
      <c r="G172" s="179"/>
      <c r="H172" s="181">
        <v>1</v>
      </c>
      <c r="I172" s="182" t="str">
        <f>VLOOKUP($E172,Hinnad!$A$2:$E$520,3)</f>
        <v>kmpl</v>
      </c>
      <c r="J172" s="182">
        <f>VLOOKUP($E172,Hinnad!$A$2:$E$520,4)</f>
        <v>15000</v>
      </c>
      <c r="K172" s="183">
        <f t="shared" si="12"/>
        <v>15000</v>
      </c>
    </row>
    <row r="173" spans="1:11" ht="12.75">
      <c r="A173" s="177" t="s">
        <v>227</v>
      </c>
      <c r="B173" s="177" t="s">
        <v>240</v>
      </c>
      <c r="C173" s="177"/>
      <c r="D173" s="177" t="s">
        <v>88</v>
      </c>
      <c r="E173" s="184">
        <v>108</v>
      </c>
      <c r="F173" s="179" t="str">
        <f>VLOOKUP($E173,Hinnad!$A$2:$E$520,2)</f>
        <v>Veetöötlus (mangaan+raud)</v>
      </c>
      <c r="G173" s="179"/>
      <c r="H173" s="181">
        <v>10</v>
      </c>
      <c r="I173" s="182" t="str">
        <f>VLOOKUP($E173,Hinnad!$A$2:$E$520,3)</f>
        <v>m3/h</v>
      </c>
      <c r="J173" s="182">
        <f>VLOOKUP($E173,Hinnad!$A$2:$E$520,4)</f>
        <v>1500</v>
      </c>
      <c r="K173" s="183">
        <f t="shared" si="12"/>
        <v>15000</v>
      </c>
    </row>
    <row r="174" spans="1:11" ht="12.75">
      <c r="A174" s="177" t="s">
        <v>227</v>
      </c>
      <c r="B174" s="177" t="s">
        <v>240</v>
      </c>
      <c r="C174" s="177"/>
      <c r="D174" s="177" t="s">
        <v>88</v>
      </c>
      <c r="E174" s="184">
        <v>113</v>
      </c>
      <c r="F174" s="179" t="str">
        <f>VLOOKUP($E174,Hinnad!$A$2:$E$520,2)</f>
        <v>Puhtaveereservuaar (50 - 200 m3)</v>
      </c>
      <c r="G174" s="179"/>
      <c r="H174" s="181">
        <v>150</v>
      </c>
      <c r="I174" s="182" t="str">
        <f>VLOOKUP($E174,Hinnad!$A$2:$E$520,3)</f>
        <v>m3</v>
      </c>
      <c r="J174" s="182">
        <f>VLOOKUP($E174,Hinnad!$A$2:$E$520,4)</f>
        <v>450</v>
      </c>
      <c r="K174" s="183">
        <f t="shared" si="12"/>
        <v>67500</v>
      </c>
    </row>
    <row r="175" spans="1:11" ht="12.75">
      <c r="A175" s="177" t="s">
        <v>227</v>
      </c>
      <c r="B175" s="177" t="s">
        <v>240</v>
      </c>
      <c r="C175" s="177"/>
      <c r="D175" s="177" t="s">
        <v>88</v>
      </c>
      <c r="E175" s="184">
        <v>112</v>
      </c>
      <c r="F175" s="179" t="str">
        <f>VLOOKUP($E175,Hinnad!$A$2:$E$520,2)</f>
        <v>Teise astme pumpla tehnoloogia (kuni 45 m3/h)</v>
      </c>
      <c r="G175" s="179"/>
      <c r="H175" s="181">
        <v>1</v>
      </c>
      <c r="I175" s="182" t="str">
        <f>VLOOKUP($E175,Hinnad!$A$2:$E$520,3)</f>
        <v>kmpl</v>
      </c>
      <c r="J175" s="182">
        <f>VLOOKUP($E175,Hinnad!$A$2:$E$520,4)</f>
        <v>60000</v>
      </c>
      <c r="K175" s="183">
        <f t="shared" si="12"/>
        <v>60000</v>
      </c>
    </row>
    <row r="176" spans="1:11" ht="12.75">
      <c r="A176" s="177" t="s">
        <v>227</v>
      </c>
      <c r="B176" s="177" t="s">
        <v>240</v>
      </c>
      <c r="C176" s="177"/>
      <c r="D176" s="177" t="s">
        <v>88</v>
      </c>
      <c r="E176" s="184">
        <v>105</v>
      </c>
      <c r="F176" s="179" t="str">
        <f>VLOOKUP($E176,Hinnad!$A$2:$E$520,2)</f>
        <v>Tehnoloogilise hoone rajamine</v>
      </c>
      <c r="G176" s="179"/>
      <c r="H176" s="181">
        <v>35</v>
      </c>
      <c r="I176" s="182" t="str">
        <f>VLOOKUP($E176,Hinnad!$A$2:$E$520,3)</f>
        <v>m2</v>
      </c>
      <c r="J176" s="182">
        <f>VLOOKUP($E176,Hinnad!$A$2:$E$520,4)</f>
        <v>1200</v>
      </c>
      <c r="K176" s="183">
        <f t="shared" si="12"/>
        <v>42000</v>
      </c>
    </row>
    <row r="177" spans="1:11" ht="12.75">
      <c r="A177" s="177" t="s">
        <v>227</v>
      </c>
      <c r="B177" s="177" t="s">
        <v>240</v>
      </c>
      <c r="C177" s="177"/>
      <c r="D177" s="177" t="s">
        <v>88</v>
      </c>
      <c r="E177" s="184">
        <v>101</v>
      </c>
      <c r="F177" s="179" t="str">
        <f>VLOOKUP($E177,Hinnad!$A$2:$E$520,2)</f>
        <v>C-V puurkaevu rajamine</v>
      </c>
      <c r="G177" s="179"/>
      <c r="H177" s="181">
        <v>1</v>
      </c>
      <c r="I177" s="182" t="str">
        <f>VLOOKUP($E177,Hinnad!$A$2:$E$520,3)</f>
        <v>tk</v>
      </c>
      <c r="J177" s="182">
        <f>VLOOKUP($E177,Hinnad!$A$2:$E$520,4)</f>
        <v>30000</v>
      </c>
      <c r="K177" s="183">
        <f t="shared" si="12"/>
        <v>30000</v>
      </c>
    </row>
    <row r="178" spans="1:11" ht="12.75">
      <c r="A178" s="177" t="s">
        <v>227</v>
      </c>
      <c r="B178" s="177" t="s">
        <v>240</v>
      </c>
      <c r="C178" s="177"/>
      <c r="D178" s="177" t="s">
        <v>88</v>
      </c>
      <c r="E178" s="184">
        <v>602</v>
      </c>
      <c r="F178" s="179" t="str">
        <f>VLOOKUP($E178,Hinnad!$A$2:$E$520,2)</f>
        <v>Juurdesõidutee või platsi rajamine (kruusakattega)</v>
      </c>
      <c r="G178" s="179"/>
      <c r="H178" s="181">
        <v>1200</v>
      </c>
      <c r="I178" s="182" t="str">
        <f>VLOOKUP($E178,Hinnad!$A$2:$E$520,3)</f>
        <v>m2</v>
      </c>
      <c r="J178" s="182">
        <f>VLOOKUP($E178,Hinnad!$A$2:$E$520,4)</f>
        <v>25</v>
      </c>
      <c r="K178" s="183">
        <f>H178*J178</f>
        <v>30000</v>
      </c>
    </row>
    <row r="179" spans="1:11" ht="12.75">
      <c r="A179" s="177" t="s">
        <v>227</v>
      </c>
      <c r="B179" s="177" t="s">
        <v>241</v>
      </c>
      <c r="C179" s="177"/>
      <c r="D179" s="177" t="s">
        <v>87</v>
      </c>
      <c r="E179" s="184">
        <v>205</v>
      </c>
      <c r="F179" s="179" t="str">
        <f>VLOOKUP($E179,Hinnad!$A$2:$E$520,2)</f>
        <v>Isevoolse torustiku rajamine</v>
      </c>
      <c r="G179" s="180"/>
      <c r="H179" s="181">
        <v>6380</v>
      </c>
      <c r="I179" s="182" t="str">
        <f>VLOOKUP($E179,Hinnad!$A$2:$E$520,3)</f>
        <v>m</v>
      </c>
      <c r="J179" s="182">
        <f>VLOOKUP($E179,Hinnad!$A$2:$E$520,4)</f>
        <v>120</v>
      </c>
      <c r="K179" s="183">
        <f t="shared" si="12"/>
        <v>765600</v>
      </c>
    </row>
    <row r="180" spans="1:11" ht="25.5">
      <c r="A180" s="177" t="s">
        <v>227</v>
      </c>
      <c r="B180" s="177" t="s">
        <v>241</v>
      </c>
      <c r="C180" s="177"/>
      <c r="D180" s="177" t="s">
        <v>87</v>
      </c>
      <c r="E180" s="184">
        <v>221</v>
      </c>
      <c r="F180" s="179" t="str">
        <f>VLOOKUP($E180,Hinnad!$A$2:$E$520,2)</f>
        <v>Kanalisatsiooni majaühendus (sh tarnetoru, ühendus tänavatorustikuga, liitumiskaev)</v>
      </c>
      <c r="G180" s="180"/>
      <c r="H180" s="181">
        <v>293</v>
      </c>
      <c r="I180" s="182" t="str">
        <f>VLOOKUP($E180,Hinnad!$A$2:$E$520,3)</f>
        <v>tk</v>
      </c>
      <c r="J180" s="182">
        <f>VLOOKUP($E180,Hinnad!$A$2:$E$520,4)</f>
        <v>1000</v>
      </c>
      <c r="K180" s="183">
        <f>H180*J180</f>
        <v>293000</v>
      </c>
    </row>
    <row r="181" spans="1:11" ht="12.75">
      <c r="A181" s="177" t="s">
        <v>227</v>
      </c>
      <c r="B181" s="177" t="s">
        <v>241</v>
      </c>
      <c r="C181" s="177"/>
      <c r="D181" s="177" t="s">
        <v>87</v>
      </c>
      <c r="E181" s="184" t="s">
        <v>119</v>
      </c>
      <c r="F181" s="179" t="str">
        <f>VLOOKUP($E181,Hinnad!$A$2:$E$520,2)</f>
        <v>Reoveepumpla Q = 5 l/s</v>
      </c>
      <c r="G181" s="180"/>
      <c r="H181" s="181">
        <v>6</v>
      </c>
      <c r="I181" s="182" t="str">
        <f>VLOOKUP($E181,Hinnad!$A$2:$E$520,3)</f>
        <v>kmpl</v>
      </c>
      <c r="J181" s="182">
        <f>VLOOKUP($E181,Hinnad!$A$2:$E$520,4)</f>
        <v>30000</v>
      </c>
      <c r="K181" s="183">
        <f>H181*J181</f>
        <v>180000</v>
      </c>
    </row>
    <row r="182" spans="1:11" ht="12.75">
      <c r="A182" s="177" t="s">
        <v>227</v>
      </c>
      <c r="B182" s="177" t="s">
        <v>241</v>
      </c>
      <c r="C182" s="177"/>
      <c r="D182" s="177" t="s">
        <v>87</v>
      </c>
      <c r="E182" s="184">
        <v>203</v>
      </c>
      <c r="F182" s="179" t="str">
        <f>VLOOKUP($E182,Hinnad!$A$2:$E$520,2)</f>
        <v>Survekanalisatsiooni rajamine</v>
      </c>
      <c r="G182" s="180"/>
      <c r="H182" s="181">
        <v>4050</v>
      </c>
      <c r="I182" s="182" t="str">
        <f>VLOOKUP($E182,Hinnad!$A$2:$E$520,3)</f>
        <v>m</v>
      </c>
      <c r="J182" s="182">
        <f>VLOOKUP($E182,Hinnad!$A$2:$E$520,4)</f>
        <v>90</v>
      </c>
      <c r="K182" s="183">
        <f>H182*J182</f>
        <v>364500</v>
      </c>
    </row>
    <row r="184" spans="1:11" ht="25.5">
      <c r="A184" s="177" t="s">
        <v>231</v>
      </c>
      <c r="B184" s="177" t="s">
        <v>305</v>
      </c>
      <c r="C184" s="177"/>
      <c r="D184" s="177" t="s">
        <v>90</v>
      </c>
      <c r="E184" s="178"/>
      <c r="F184" s="179" t="s">
        <v>301</v>
      </c>
      <c r="G184" s="179" t="s">
        <v>299</v>
      </c>
      <c r="H184" s="181">
        <v>1</v>
      </c>
      <c r="I184" s="182" t="s">
        <v>5</v>
      </c>
      <c r="J184" s="182"/>
      <c r="K184" s="183">
        <v>30000</v>
      </c>
    </row>
    <row r="186" spans="1:11" ht="25.5">
      <c r="A186" s="177" t="s">
        <v>219</v>
      </c>
      <c r="B186" s="177" t="s">
        <v>298</v>
      </c>
      <c r="C186" s="177"/>
      <c r="D186" s="177" t="s">
        <v>90</v>
      </c>
      <c r="E186" s="178"/>
      <c r="F186" s="179" t="s">
        <v>300</v>
      </c>
      <c r="G186" s="179" t="s">
        <v>299</v>
      </c>
      <c r="H186" s="181">
        <v>1</v>
      </c>
      <c r="I186" s="182" t="s">
        <v>5</v>
      </c>
      <c r="J186" s="182"/>
      <c r="K186" s="183">
        <v>61050</v>
      </c>
    </row>
    <row r="188" spans="1:11" ht="25.5">
      <c r="A188" s="177" t="s">
        <v>188</v>
      </c>
      <c r="B188" s="177" t="s">
        <v>179</v>
      </c>
      <c r="C188" s="177"/>
      <c r="D188" s="177" t="s">
        <v>90</v>
      </c>
      <c r="E188" s="178"/>
      <c r="F188" s="179" t="s">
        <v>310</v>
      </c>
      <c r="G188" s="179" t="s">
        <v>309</v>
      </c>
      <c r="H188" s="181">
        <v>4</v>
      </c>
      <c r="I188" s="182" t="s">
        <v>5</v>
      </c>
      <c r="J188" s="182"/>
      <c r="K188" s="183">
        <v>125000</v>
      </c>
    </row>
    <row r="189" spans="1:11" ht="25.5">
      <c r="A189" s="177" t="s">
        <v>188</v>
      </c>
      <c r="B189" s="177" t="s">
        <v>179</v>
      </c>
      <c r="C189" s="177"/>
      <c r="D189" s="177" t="s">
        <v>94</v>
      </c>
      <c r="E189" s="178"/>
      <c r="F189" s="179" t="s">
        <v>311</v>
      </c>
      <c r="G189" s="179" t="s">
        <v>309</v>
      </c>
      <c r="H189" s="181">
        <v>4</v>
      </c>
      <c r="I189" s="182" t="s">
        <v>5</v>
      </c>
      <c r="J189" s="182"/>
      <c r="K189" s="183">
        <v>125000</v>
      </c>
    </row>
  </sheetData>
  <sheetProtection/>
  <autoFilter ref="A2:K163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6.00390625" style="1" bestFit="1" customWidth="1"/>
    <col min="2" max="2" width="19.00390625" style="0" bestFit="1" customWidth="1"/>
    <col min="3" max="3" width="10.7109375" style="2" bestFit="1" customWidth="1"/>
    <col min="4" max="7" width="10.7109375" style="0" bestFit="1" customWidth="1"/>
    <col min="8" max="8" width="11.421875" style="0" bestFit="1" customWidth="1"/>
    <col min="9" max="10" width="3.7109375" style="0" customWidth="1"/>
    <col min="11" max="11" width="11.28125" style="9" bestFit="1" customWidth="1"/>
    <col min="12" max="16" width="11.421875" style="0" bestFit="1" customWidth="1"/>
    <col min="17" max="18" width="11.28125" style="0" bestFit="1" customWidth="1"/>
    <col min="19" max="19" width="11.421875" style="0" bestFit="1" customWidth="1"/>
  </cols>
  <sheetData>
    <row r="1" spans="1:11" ht="12.75">
      <c r="A1"/>
      <c r="K1" s="62">
        <v>1.155</v>
      </c>
    </row>
    <row r="3" spans="1:8" ht="12.75">
      <c r="A3" s="11" t="s">
        <v>58</v>
      </c>
      <c r="B3" s="12"/>
      <c r="C3" s="11" t="s">
        <v>75</v>
      </c>
      <c r="D3" s="12"/>
      <c r="E3" s="12"/>
      <c r="F3" s="12"/>
      <c r="G3" s="12"/>
      <c r="H3" s="13"/>
    </row>
    <row r="4" spans="1:8" ht="12.75">
      <c r="A4" s="11" t="s">
        <v>0</v>
      </c>
      <c r="B4" s="11" t="s">
        <v>132</v>
      </c>
      <c r="C4" s="14" t="s">
        <v>88</v>
      </c>
      <c r="D4" s="29" t="s">
        <v>87</v>
      </c>
      <c r="E4" s="29" t="s">
        <v>90</v>
      </c>
      <c r="F4" s="29" t="s">
        <v>94</v>
      </c>
      <c r="G4" s="29" t="s">
        <v>211</v>
      </c>
      <c r="H4" s="15" t="s">
        <v>89</v>
      </c>
    </row>
    <row r="5" spans="1:11" ht="12.75">
      <c r="A5" s="14" t="s">
        <v>188</v>
      </c>
      <c r="B5" s="14" t="s">
        <v>179</v>
      </c>
      <c r="C5" s="16"/>
      <c r="D5" s="30"/>
      <c r="E5" s="30">
        <v>125000</v>
      </c>
      <c r="F5" s="30">
        <v>125000</v>
      </c>
      <c r="G5" s="30"/>
      <c r="H5" s="17">
        <v>250000</v>
      </c>
      <c r="K5" s="9">
        <f>H5*K$1</f>
        <v>288750</v>
      </c>
    </row>
    <row r="6" spans="1:11" ht="12.75">
      <c r="A6" s="14" t="s">
        <v>129</v>
      </c>
      <c r="B6" s="14" t="s">
        <v>133</v>
      </c>
      <c r="C6" s="16"/>
      <c r="D6" s="30"/>
      <c r="E6" s="30"/>
      <c r="F6" s="30">
        <v>157500</v>
      </c>
      <c r="G6" s="30"/>
      <c r="H6" s="17">
        <v>157500</v>
      </c>
      <c r="K6" s="9">
        <f aca="true" t="shared" si="0" ref="K6:K38">H6*K$1</f>
        <v>181912.5</v>
      </c>
    </row>
    <row r="7" spans="1:11" ht="12.75">
      <c r="A7" s="78"/>
      <c r="B7" s="18" t="s">
        <v>137</v>
      </c>
      <c r="C7" s="19"/>
      <c r="D7" s="9"/>
      <c r="E7" s="9"/>
      <c r="F7" s="9">
        <v>713240</v>
      </c>
      <c r="G7" s="9"/>
      <c r="H7" s="20">
        <v>713240</v>
      </c>
      <c r="K7" s="9">
        <f t="shared" si="0"/>
        <v>823792.2000000001</v>
      </c>
    </row>
    <row r="8" spans="1:11" ht="12.75">
      <c r="A8" s="78"/>
      <c r="B8" s="18" t="s">
        <v>158</v>
      </c>
      <c r="C8" s="19">
        <v>54000</v>
      </c>
      <c r="D8" s="9"/>
      <c r="E8" s="9"/>
      <c r="F8" s="9"/>
      <c r="G8" s="9"/>
      <c r="H8" s="20">
        <v>54000</v>
      </c>
      <c r="K8" s="9">
        <f t="shared" si="0"/>
        <v>62370</v>
      </c>
    </row>
    <row r="9" spans="1:11" ht="12.75">
      <c r="A9" s="78"/>
      <c r="B9" s="18" t="s">
        <v>189</v>
      </c>
      <c r="C9" s="19"/>
      <c r="D9" s="9"/>
      <c r="E9" s="9">
        <v>70618</v>
      </c>
      <c r="F9" s="9">
        <v>236096</v>
      </c>
      <c r="G9" s="9">
        <v>183311</v>
      </c>
      <c r="H9" s="20">
        <v>490025</v>
      </c>
      <c r="K9" s="9">
        <f t="shared" si="0"/>
        <v>565978.875</v>
      </c>
    </row>
    <row r="10" spans="1:11" ht="12.75">
      <c r="A10" s="78"/>
      <c r="B10" s="18" t="s">
        <v>195</v>
      </c>
      <c r="C10" s="19"/>
      <c r="D10" s="9"/>
      <c r="E10" s="9">
        <v>65900</v>
      </c>
      <c r="F10" s="9"/>
      <c r="G10" s="9"/>
      <c r="H10" s="20">
        <v>65900</v>
      </c>
      <c r="K10" s="9">
        <f t="shared" si="0"/>
        <v>76114.5</v>
      </c>
    </row>
    <row r="11" spans="1:11" ht="12.75">
      <c r="A11" s="78"/>
      <c r="B11" s="18" t="s">
        <v>181</v>
      </c>
      <c r="C11" s="19"/>
      <c r="D11" s="9">
        <v>34600</v>
      </c>
      <c r="E11" s="9">
        <v>40500</v>
      </c>
      <c r="F11" s="9"/>
      <c r="G11" s="9"/>
      <c r="H11" s="20">
        <v>75100</v>
      </c>
      <c r="K11" s="9">
        <f t="shared" si="0"/>
        <v>86740.5</v>
      </c>
    </row>
    <row r="12" spans="1:11" ht="12.75">
      <c r="A12" s="14" t="s">
        <v>83</v>
      </c>
      <c r="B12" s="14" t="s">
        <v>86</v>
      </c>
      <c r="C12" s="16">
        <v>207700</v>
      </c>
      <c r="D12" s="30">
        <v>376800</v>
      </c>
      <c r="E12" s="30"/>
      <c r="F12" s="30"/>
      <c r="G12" s="30"/>
      <c r="H12" s="17">
        <v>584500</v>
      </c>
      <c r="K12" s="9">
        <f t="shared" si="0"/>
        <v>675097.5</v>
      </c>
    </row>
    <row r="13" spans="1:11" ht="12.75">
      <c r="A13" s="78"/>
      <c r="B13" s="18" t="s">
        <v>162</v>
      </c>
      <c r="C13" s="19"/>
      <c r="D13" s="9"/>
      <c r="E13" s="9">
        <v>373000</v>
      </c>
      <c r="F13" s="9"/>
      <c r="G13" s="9"/>
      <c r="H13" s="20">
        <v>373000</v>
      </c>
      <c r="K13" s="9">
        <f t="shared" si="0"/>
        <v>430815</v>
      </c>
    </row>
    <row r="14" spans="1:11" ht="12.75">
      <c r="A14" s="78"/>
      <c r="B14" s="18" t="s">
        <v>198</v>
      </c>
      <c r="C14" s="19"/>
      <c r="D14" s="9">
        <v>83950</v>
      </c>
      <c r="E14" s="9">
        <v>200500</v>
      </c>
      <c r="F14" s="9">
        <v>203300</v>
      </c>
      <c r="G14" s="9"/>
      <c r="H14" s="20">
        <v>487750</v>
      </c>
      <c r="K14" s="9">
        <f t="shared" si="0"/>
        <v>563351.25</v>
      </c>
    </row>
    <row r="15" spans="1:11" ht="12.75">
      <c r="A15" s="78"/>
      <c r="B15" s="18" t="s">
        <v>200</v>
      </c>
      <c r="C15" s="19"/>
      <c r="D15" s="9">
        <v>12400</v>
      </c>
      <c r="E15" s="9">
        <v>92200</v>
      </c>
      <c r="F15" s="9">
        <v>86200</v>
      </c>
      <c r="G15" s="9"/>
      <c r="H15" s="20">
        <v>190800</v>
      </c>
      <c r="K15" s="9">
        <f t="shared" si="0"/>
        <v>220374</v>
      </c>
    </row>
    <row r="16" spans="1:11" ht="12.75">
      <c r="A16" s="14" t="s">
        <v>102</v>
      </c>
      <c r="B16" s="14" t="s">
        <v>104</v>
      </c>
      <c r="C16" s="16"/>
      <c r="D16" s="30"/>
      <c r="E16" s="30">
        <v>80000</v>
      </c>
      <c r="F16" s="30">
        <v>150500</v>
      </c>
      <c r="G16" s="30"/>
      <c r="H16" s="17">
        <v>230500</v>
      </c>
      <c r="K16" s="9">
        <f t="shared" si="0"/>
        <v>266227.5</v>
      </c>
    </row>
    <row r="17" spans="1:11" ht="12.75">
      <c r="A17" s="78"/>
      <c r="B17" s="18" t="s">
        <v>103</v>
      </c>
      <c r="C17" s="19"/>
      <c r="D17" s="9"/>
      <c r="E17" s="9">
        <v>124000</v>
      </c>
      <c r="F17" s="9">
        <v>163950</v>
      </c>
      <c r="G17" s="9"/>
      <c r="H17" s="20">
        <v>287950</v>
      </c>
      <c r="K17" s="9">
        <f t="shared" si="0"/>
        <v>332582.25</v>
      </c>
    </row>
    <row r="18" spans="1:11" ht="12.75">
      <c r="A18" s="78"/>
      <c r="B18" s="18" t="s">
        <v>105</v>
      </c>
      <c r="C18" s="19">
        <v>156200</v>
      </c>
      <c r="D18" s="9">
        <v>25500</v>
      </c>
      <c r="E18" s="9"/>
      <c r="F18" s="9"/>
      <c r="G18" s="9"/>
      <c r="H18" s="20">
        <v>181700</v>
      </c>
      <c r="K18" s="9">
        <f t="shared" si="0"/>
        <v>209863.5</v>
      </c>
    </row>
    <row r="19" spans="1:11" ht="12.75">
      <c r="A19" s="78"/>
      <c r="B19" s="18" t="s">
        <v>167</v>
      </c>
      <c r="C19" s="19"/>
      <c r="D19" s="9"/>
      <c r="E19" s="9">
        <v>288200</v>
      </c>
      <c r="F19" s="9"/>
      <c r="G19" s="9"/>
      <c r="H19" s="20">
        <v>288200</v>
      </c>
      <c r="K19" s="9">
        <f t="shared" si="0"/>
        <v>332871</v>
      </c>
    </row>
    <row r="20" spans="1:11" ht="12.75">
      <c r="A20" s="78"/>
      <c r="B20" s="18" t="s">
        <v>159</v>
      </c>
      <c r="C20" s="19"/>
      <c r="D20" s="9"/>
      <c r="E20" s="9">
        <v>288200</v>
      </c>
      <c r="F20" s="9"/>
      <c r="G20" s="9"/>
      <c r="H20" s="20">
        <v>288200</v>
      </c>
      <c r="K20" s="9">
        <f t="shared" si="0"/>
        <v>332871</v>
      </c>
    </row>
    <row r="21" spans="1:11" ht="12.75">
      <c r="A21" s="78"/>
      <c r="B21" s="18" t="s">
        <v>190</v>
      </c>
      <c r="C21" s="19"/>
      <c r="D21" s="9"/>
      <c r="E21" s="9">
        <v>60000</v>
      </c>
      <c r="F21" s="9">
        <v>36000</v>
      </c>
      <c r="G21" s="9"/>
      <c r="H21" s="20">
        <v>96000</v>
      </c>
      <c r="K21" s="9">
        <f t="shared" si="0"/>
        <v>110880</v>
      </c>
    </row>
    <row r="22" spans="1:11" ht="12.75">
      <c r="A22" s="14" t="s">
        <v>134</v>
      </c>
      <c r="B22" s="14" t="s">
        <v>124</v>
      </c>
      <c r="C22" s="16">
        <v>160400</v>
      </c>
      <c r="D22" s="30">
        <v>108900</v>
      </c>
      <c r="E22" s="30"/>
      <c r="F22" s="30"/>
      <c r="G22" s="30"/>
      <c r="H22" s="17">
        <v>269300</v>
      </c>
      <c r="K22" s="9">
        <f t="shared" si="0"/>
        <v>311041.5</v>
      </c>
    </row>
    <row r="23" spans="1:11" ht="12.75">
      <c r="A23" s="78"/>
      <c r="B23" s="18" t="s">
        <v>176</v>
      </c>
      <c r="C23" s="19"/>
      <c r="D23" s="9"/>
      <c r="E23" s="9">
        <v>125500</v>
      </c>
      <c r="F23" s="9">
        <v>171600</v>
      </c>
      <c r="G23" s="9"/>
      <c r="H23" s="20">
        <v>297100</v>
      </c>
      <c r="K23" s="9">
        <f t="shared" si="0"/>
        <v>343150.5</v>
      </c>
    </row>
    <row r="24" spans="1:11" ht="12.75">
      <c r="A24" s="14" t="s">
        <v>174</v>
      </c>
      <c r="B24" s="14" t="s">
        <v>170</v>
      </c>
      <c r="C24" s="16"/>
      <c r="D24" s="30">
        <v>150000</v>
      </c>
      <c r="E24" s="30"/>
      <c r="F24" s="30"/>
      <c r="G24" s="30"/>
      <c r="H24" s="17">
        <v>150000</v>
      </c>
      <c r="K24" s="9">
        <f t="shared" si="0"/>
        <v>173250</v>
      </c>
    </row>
    <row r="25" spans="1:11" ht="12.75">
      <c r="A25" s="14" t="s">
        <v>101</v>
      </c>
      <c r="B25" s="14" t="s">
        <v>96</v>
      </c>
      <c r="C25" s="16"/>
      <c r="D25" s="30"/>
      <c r="E25" s="30"/>
      <c r="F25" s="30">
        <v>66000</v>
      </c>
      <c r="G25" s="30"/>
      <c r="H25" s="17">
        <v>66000</v>
      </c>
      <c r="K25" s="9">
        <f t="shared" si="0"/>
        <v>76230</v>
      </c>
    </row>
    <row r="26" spans="1:11" ht="12.75">
      <c r="A26" s="78"/>
      <c r="B26" s="18" t="s">
        <v>178</v>
      </c>
      <c r="C26" s="19"/>
      <c r="D26" s="9"/>
      <c r="E26" s="9"/>
      <c r="F26" s="9">
        <v>20000</v>
      </c>
      <c r="G26" s="9"/>
      <c r="H26" s="20">
        <v>20000</v>
      </c>
      <c r="K26" s="9">
        <f t="shared" si="0"/>
        <v>23100</v>
      </c>
    </row>
    <row r="27" spans="1:11" ht="12.75">
      <c r="A27" s="14" t="s">
        <v>164</v>
      </c>
      <c r="B27" s="14" t="s">
        <v>163</v>
      </c>
      <c r="C27" s="16"/>
      <c r="D27" s="30">
        <v>190000</v>
      </c>
      <c r="E27" s="30"/>
      <c r="F27" s="30"/>
      <c r="G27" s="30"/>
      <c r="H27" s="17">
        <v>190000</v>
      </c>
      <c r="K27" s="9">
        <f t="shared" si="0"/>
        <v>219450</v>
      </c>
    </row>
    <row r="28" spans="1:11" ht="12.75">
      <c r="A28" s="78"/>
      <c r="B28" s="18" t="s">
        <v>302</v>
      </c>
      <c r="C28" s="19"/>
      <c r="D28" s="9">
        <v>191500</v>
      </c>
      <c r="E28" s="9"/>
      <c r="F28" s="9"/>
      <c r="G28" s="9"/>
      <c r="H28" s="20">
        <v>191500</v>
      </c>
      <c r="K28" s="9">
        <f t="shared" si="0"/>
        <v>221182.5</v>
      </c>
    </row>
    <row r="29" spans="1:11" ht="12.75">
      <c r="A29" s="78"/>
      <c r="B29" s="18" t="s">
        <v>165</v>
      </c>
      <c r="C29" s="19"/>
      <c r="D29" s="9">
        <v>102500</v>
      </c>
      <c r="E29" s="9"/>
      <c r="F29" s="9"/>
      <c r="G29" s="9"/>
      <c r="H29" s="20">
        <v>102500</v>
      </c>
      <c r="K29" s="9">
        <f t="shared" si="0"/>
        <v>118387.5</v>
      </c>
    </row>
    <row r="30" spans="1:11" ht="12.75">
      <c r="A30" s="78"/>
      <c r="B30" s="18" t="s">
        <v>303</v>
      </c>
      <c r="C30" s="19"/>
      <c r="D30" s="9">
        <v>253200</v>
      </c>
      <c r="E30" s="9"/>
      <c r="F30" s="9"/>
      <c r="G30" s="9"/>
      <c r="H30" s="20">
        <v>253200</v>
      </c>
      <c r="K30" s="9">
        <f t="shared" si="0"/>
        <v>292446</v>
      </c>
    </row>
    <row r="31" spans="1:11" ht="12.75">
      <c r="A31" s="78"/>
      <c r="B31" s="18" t="s">
        <v>166</v>
      </c>
      <c r="C31" s="19"/>
      <c r="D31" s="9">
        <v>341000</v>
      </c>
      <c r="E31" s="9"/>
      <c r="F31" s="9"/>
      <c r="G31" s="9"/>
      <c r="H31" s="20">
        <v>341000</v>
      </c>
      <c r="K31" s="9">
        <f t="shared" si="0"/>
        <v>393855</v>
      </c>
    </row>
    <row r="32" spans="1:11" ht="12.75">
      <c r="A32" s="78"/>
      <c r="B32" s="18" t="s">
        <v>304</v>
      </c>
      <c r="C32" s="19"/>
      <c r="D32" s="9">
        <v>213000</v>
      </c>
      <c r="E32" s="9"/>
      <c r="F32" s="9"/>
      <c r="G32" s="9"/>
      <c r="H32" s="20">
        <v>213000</v>
      </c>
      <c r="K32" s="9">
        <f t="shared" si="0"/>
        <v>246015</v>
      </c>
    </row>
    <row r="33" spans="1:11" ht="12.75">
      <c r="A33" s="14" t="s">
        <v>227</v>
      </c>
      <c r="B33" s="14" t="s">
        <v>239</v>
      </c>
      <c r="C33" s="16">
        <v>965100</v>
      </c>
      <c r="D33" s="30"/>
      <c r="E33" s="30"/>
      <c r="F33" s="30"/>
      <c r="G33" s="30"/>
      <c r="H33" s="17">
        <v>965100</v>
      </c>
      <c r="K33" s="9">
        <f t="shared" si="0"/>
        <v>1114690.5</v>
      </c>
    </row>
    <row r="34" spans="1:11" ht="12.75">
      <c r="A34" s="78"/>
      <c r="B34" s="18" t="s">
        <v>240</v>
      </c>
      <c r="C34" s="19">
        <v>259500</v>
      </c>
      <c r="D34" s="9"/>
      <c r="E34" s="9"/>
      <c r="F34" s="9"/>
      <c r="G34" s="9"/>
      <c r="H34" s="20">
        <v>259500</v>
      </c>
      <c r="K34" s="9">
        <f t="shared" si="0"/>
        <v>299722.5</v>
      </c>
    </row>
    <row r="35" spans="1:11" ht="12.75">
      <c r="A35" s="78"/>
      <c r="B35" s="18" t="s">
        <v>241</v>
      </c>
      <c r="C35" s="19"/>
      <c r="D35" s="9">
        <v>1603100</v>
      </c>
      <c r="E35" s="9"/>
      <c r="F35" s="9"/>
      <c r="G35" s="9"/>
      <c r="H35" s="20">
        <v>1603100</v>
      </c>
      <c r="K35" s="9">
        <f t="shared" si="0"/>
        <v>1851580.5</v>
      </c>
    </row>
    <row r="36" spans="1:11" ht="12.75">
      <c r="A36" s="14" t="s">
        <v>231</v>
      </c>
      <c r="B36" s="14" t="s">
        <v>305</v>
      </c>
      <c r="C36" s="16"/>
      <c r="D36" s="30"/>
      <c r="E36" s="30">
        <v>30000</v>
      </c>
      <c r="F36" s="30"/>
      <c r="G36" s="30"/>
      <c r="H36" s="17">
        <v>30000</v>
      </c>
      <c r="K36" s="9">
        <f t="shared" si="0"/>
        <v>34650</v>
      </c>
    </row>
    <row r="37" spans="1:11" ht="12.75">
      <c r="A37" s="14" t="s">
        <v>219</v>
      </c>
      <c r="B37" s="14" t="s">
        <v>298</v>
      </c>
      <c r="C37" s="16"/>
      <c r="D37" s="30"/>
      <c r="E37" s="30">
        <v>61050</v>
      </c>
      <c r="F37" s="30"/>
      <c r="G37" s="30"/>
      <c r="H37" s="17">
        <v>61050</v>
      </c>
      <c r="K37" s="9">
        <f t="shared" si="0"/>
        <v>70512.75</v>
      </c>
    </row>
    <row r="38" spans="1:11" ht="12.75">
      <c r="A38" s="23" t="s">
        <v>89</v>
      </c>
      <c r="B38" s="79"/>
      <c r="C38" s="21">
        <v>1802900</v>
      </c>
      <c r="D38" s="31">
        <v>3686450</v>
      </c>
      <c r="E38" s="31">
        <v>2024668</v>
      </c>
      <c r="F38" s="31">
        <v>2129386</v>
      </c>
      <c r="G38" s="31">
        <v>183311</v>
      </c>
      <c r="H38" s="22">
        <v>9826715</v>
      </c>
      <c r="K38" s="9">
        <f t="shared" si="0"/>
        <v>11349855.825000001</v>
      </c>
    </row>
    <row r="39" spans="1:10" ht="12.75">
      <c r="A39"/>
      <c r="C39"/>
      <c r="I39" s="63"/>
      <c r="J39" s="63"/>
    </row>
    <row r="40" spans="1:10" ht="12.75">
      <c r="A40"/>
      <c r="C40"/>
      <c r="I40" s="63"/>
      <c r="J40" s="63"/>
    </row>
    <row r="41" spans="1:10" ht="12.75">
      <c r="A41"/>
      <c r="C41"/>
      <c r="I41" s="63"/>
      <c r="J41" s="63"/>
    </row>
    <row r="42" spans="1:10" ht="12.75">
      <c r="A42"/>
      <c r="C42"/>
      <c r="I42" s="63"/>
      <c r="J42" s="63"/>
    </row>
    <row r="43" spans="1:10" ht="12.75">
      <c r="A43"/>
      <c r="C43"/>
      <c r="I43" s="63"/>
      <c r="J43" s="63"/>
    </row>
    <row r="44" spans="1:10" ht="12.75">
      <c r="A44"/>
      <c r="C44"/>
      <c r="I44" s="63"/>
      <c r="J44" s="63"/>
    </row>
    <row r="45" spans="1:3" ht="12.75">
      <c r="A45"/>
      <c r="C45"/>
    </row>
    <row r="46" spans="1:3" ht="12.75">
      <c r="A46"/>
      <c r="C46"/>
    </row>
    <row r="47" spans="1:3" ht="12.75">
      <c r="A47"/>
      <c r="C47"/>
    </row>
    <row r="48" spans="1:3" ht="12.75">
      <c r="A48"/>
      <c r="C48"/>
    </row>
    <row r="49" spans="1:3" ht="12.75">
      <c r="A49"/>
      <c r="C49"/>
    </row>
    <row r="50" spans="1:3" ht="12.75">
      <c r="A50"/>
      <c r="C50"/>
    </row>
    <row r="51" spans="1:3" ht="12.75">
      <c r="A51"/>
      <c r="C51"/>
    </row>
    <row r="52" spans="1:3" ht="12.75">
      <c r="A52"/>
      <c r="C52"/>
    </row>
    <row r="53" spans="1:3" ht="12.75">
      <c r="A53"/>
      <c r="C53"/>
    </row>
    <row r="54" spans="1:3" ht="12.75">
      <c r="A54"/>
      <c r="C54"/>
    </row>
    <row r="55" spans="1:3" ht="12.75">
      <c r="A55"/>
      <c r="C55"/>
    </row>
    <row r="56" spans="1:3" ht="12.75">
      <c r="A56"/>
      <c r="C56"/>
    </row>
    <row r="57" spans="1:3" ht="12.75">
      <c r="A57"/>
      <c r="C57"/>
    </row>
    <row r="58" spans="1:3" ht="12.75">
      <c r="A58"/>
      <c r="C58"/>
    </row>
    <row r="59" spans="1:3" ht="12.75">
      <c r="A59"/>
      <c r="C59"/>
    </row>
    <row r="60" spans="1:3" ht="12.75">
      <c r="A60"/>
      <c r="C60"/>
    </row>
    <row r="61" spans="1:3" ht="12.75">
      <c r="A61"/>
      <c r="C61"/>
    </row>
    <row r="62" spans="1:3" ht="12.75">
      <c r="A62"/>
      <c r="C62"/>
    </row>
    <row r="63" spans="1:3" ht="12.75">
      <c r="A63"/>
      <c r="C63"/>
    </row>
    <row r="64" spans="1:3" ht="12.75">
      <c r="A64"/>
      <c r="C64"/>
    </row>
    <row r="65" spans="1:3" ht="12.75">
      <c r="A65"/>
      <c r="C65"/>
    </row>
    <row r="66" spans="1:3" ht="12.75">
      <c r="A66"/>
      <c r="C66"/>
    </row>
    <row r="67" ht="12.75">
      <c r="A67"/>
    </row>
    <row r="68" ht="12.75">
      <c r="A6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1" customWidth="1"/>
    <col min="2" max="2" width="20.28125" style="0" customWidth="1"/>
    <col min="3" max="3" width="92.140625" style="2" bestFit="1" customWidth="1"/>
    <col min="4" max="4" width="9.00390625" style="0" bestFit="1" customWidth="1"/>
    <col min="5" max="5" width="6.00390625" style="0" bestFit="1" customWidth="1"/>
    <col min="6" max="6" width="14.421875" style="0" bestFit="1" customWidth="1"/>
    <col min="7" max="9" width="10.7109375" style="0" bestFit="1" customWidth="1"/>
    <col min="10" max="10" width="11.421875" style="0" bestFit="1" customWidth="1"/>
    <col min="11" max="14" width="24.7109375" style="0" bestFit="1" customWidth="1"/>
    <col min="15" max="15" width="21.7109375" style="0" bestFit="1" customWidth="1"/>
    <col min="16" max="16" width="30.421875" style="0" bestFit="1" customWidth="1"/>
    <col min="17" max="17" width="11.421875" style="0" bestFit="1" customWidth="1"/>
  </cols>
  <sheetData>
    <row r="1" ht="12.75">
      <c r="A1"/>
    </row>
    <row r="3" spans="1:6" ht="12.75">
      <c r="A3" s="14"/>
      <c r="B3" s="12"/>
      <c r="C3" s="12"/>
      <c r="D3" s="12"/>
      <c r="E3" s="11" t="s">
        <v>297</v>
      </c>
      <c r="F3" s="13"/>
    </row>
    <row r="4" spans="1:6" ht="12.75">
      <c r="A4" s="11" t="s">
        <v>0</v>
      </c>
      <c r="B4" s="11" t="s">
        <v>132</v>
      </c>
      <c r="C4" s="36" t="s">
        <v>2</v>
      </c>
      <c r="D4" s="35" t="s">
        <v>3</v>
      </c>
      <c r="E4" s="14" t="s">
        <v>242</v>
      </c>
      <c r="F4" s="64" t="s">
        <v>306</v>
      </c>
    </row>
    <row r="5" spans="1:6" ht="12.75">
      <c r="A5" s="14" t="s">
        <v>188</v>
      </c>
      <c r="B5" s="14" t="s">
        <v>179</v>
      </c>
      <c r="C5" s="14" t="s">
        <v>310</v>
      </c>
      <c r="D5" s="14" t="s">
        <v>5</v>
      </c>
      <c r="E5" s="65">
        <v>4</v>
      </c>
      <c r="F5" s="68">
        <v>125000</v>
      </c>
    </row>
    <row r="6" spans="1:6" ht="12.75">
      <c r="A6" s="78"/>
      <c r="B6" s="78"/>
      <c r="C6" s="14" t="s">
        <v>311</v>
      </c>
      <c r="D6" s="14" t="s">
        <v>5</v>
      </c>
      <c r="E6" s="65">
        <v>4</v>
      </c>
      <c r="F6" s="68">
        <v>125000</v>
      </c>
    </row>
    <row r="7" spans="1:6" ht="12.75">
      <c r="A7" s="14" t="s">
        <v>129</v>
      </c>
      <c r="B7" s="14" t="s">
        <v>133</v>
      </c>
      <c r="C7" s="14" t="s">
        <v>130</v>
      </c>
      <c r="D7" s="14" t="s">
        <v>5</v>
      </c>
      <c r="E7" s="65">
        <v>2</v>
      </c>
      <c r="F7" s="68">
        <v>10000</v>
      </c>
    </row>
    <row r="8" spans="1:6" ht="12.75">
      <c r="A8" s="78"/>
      <c r="B8" s="78"/>
      <c r="C8" s="14" t="s">
        <v>155</v>
      </c>
      <c r="D8" s="14" t="s">
        <v>4</v>
      </c>
      <c r="E8" s="65">
        <v>590</v>
      </c>
      <c r="F8" s="68">
        <v>147500</v>
      </c>
    </row>
    <row r="9" spans="1:6" ht="12.75">
      <c r="A9" s="78"/>
      <c r="B9" s="14" t="s">
        <v>137</v>
      </c>
      <c r="C9" s="14" t="s">
        <v>140</v>
      </c>
      <c r="D9" s="14" t="s">
        <v>5</v>
      </c>
      <c r="E9" s="65">
        <v>8</v>
      </c>
      <c r="F9" s="68">
        <v>56000</v>
      </c>
    </row>
    <row r="10" spans="1:6" ht="12.75">
      <c r="A10" s="78"/>
      <c r="B10" s="78"/>
      <c r="C10" s="14" t="s">
        <v>141</v>
      </c>
      <c r="D10" s="14" t="s">
        <v>5</v>
      </c>
      <c r="E10" s="65">
        <v>1</v>
      </c>
      <c r="F10" s="68">
        <v>3000</v>
      </c>
    </row>
    <row r="11" spans="1:6" ht="12.75">
      <c r="A11" s="78"/>
      <c r="B11" s="78"/>
      <c r="C11" s="14" t="s">
        <v>142</v>
      </c>
      <c r="D11" s="14" t="s">
        <v>5</v>
      </c>
      <c r="E11" s="65">
        <v>1</v>
      </c>
      <c r="F11" s="68">
        <v>3000</v>
      </c>
    </row>
    <row r="12" spans="1:6" ht="12.75">
      <c r="A12" s="78"/>
      <c r="B12" s="78"/>
      <c r="C12" s="14" t="s">
        <v>155</v>
      </c>
      <c r="D12" s="14" t="s">
        <v>4</v>
      </c>
      <c r="E12" s="65">
        <v>3907</v>
      </c>
      <c r="F12" s="68">
        <v>651240</v>
      </c>
    </row>
    <row r="13" spans="1:6" ht="12.75">
      <c r="A13" s="78"/>
      <c r="B13" s="14" t="s">
        <v>158</v>
      </c>
      <c r="C13" s="14" t="s">
        <v>154</v>
      </c>
      <c r="D13" s="14" t="s">
        <v>4</v>
      </c>
      <c r="E13" s="65">
        <v>540</v>
      </c>
      <c r="F13" s="68">
        <v>54000</v>
      </c>
    </row>
    <row r="14" spans="1:6" ht="12.75">
      <c r="A14" s="78"/>
      <c r="B14" s="14" t="s">
        <v>189</v>
      </c>
      <c r="C14" s="14" t="s">
        <v>91</v>
      </c>
      <c r="D14" s="14" t="s">
        <v>4</v>
      </c>
      <c r="E14" s="65">
        <v>975</v>
      </c>
      <c r="F14" s="68">
        <v>229772</v>
      </c>
    </row>
    <row r="15" spans="1:6" ht="12.75">
      <c r="A15" s="78"/>
      <c r="B15" s="78"/>
      <c r="C15" s="14" t="s">
        <v>154</v>
      </c>
      <c r="D15" s="14" t="s">
        <v>4</v>
      </c>
      <c r="E15" s="65">
        <v>570</v>
      </c>
      <c r="F15" s="68">
        <v>70618</v>
      </c>
    </row>
    <row r="16" spans="1:6" ht="12.75">
      <c r="A16" s="78"/>
      <c r="B16" s="78"/>
      <c r="C16" s="14" t="s">
        <v>157</v>
      </c>
      <c r="D16" s="14" t="s">
        <v>5</v>
      </c>
      <c r="E16" s="65">
        <v>1</v>
      </c>
      <c r="F16" s="68">
        <v>6324</v>
      </c>
    </row>
    <row r="17" spans="1:6" ht="12.75">
      <c r="A17" s="78"/>
      <c r="B17" s="78"/>
      <c r="C17" s="14" t="s">
        <v>212</v>
      </c>
      <c r="D17" s="14" t="s">
        <v>243</v>
      </c>
      <c r="E17" s="65"/>
      <c r="F17" s="68"/>
    </row>
    <row r="18" spans="1:6" ht="12.75">
      <c r="A18" s="78"/>
      <c r="B18" s="78"/>
      <c r="C18" s="14" t="s">
        <v>213</v>
      </c>
      <c r="D18" s="14" t="s">
        <v>4</v>
      </c>
      <c r="E18" s="65">
        <v>1530</v>
      </c>
      <c r="F18" s="68">
        <v>183311</v>
      </c>
    </row>
    <row r="19" spans="1:6" ht="12.75">
      <c r="A19" s="78"/>
      <c r="B19" s="14" t="s">
        <v>195</v>
      </c>
      <c r="C19" s="14" t="s">
        <v>85</v>
      </c>
      <c r="D19" s="14" t="s">
        <v>8</v>
      </c>
      <c r="E19" s="65">
        <v>17</v>
      </c>
      <c r="F19" s="68">
        <v>11900</v>
      </c>
    </row>
    <row r="20" spans="1:6" ht="12.75">
      <c r="A20" s="78"/>
      <c r="B20" s="78"/>
      <c r="C20" s="14" t="s">
        <v>154</v>
      </c>
      <c r="D20" s="14" t="s">
        <v>4</v>
      </c>
      <c r="E20" s="65">
        <v>540</v>
      </c>
      <c r="F20" s="68">
        <v>54000</v>
      </c>
    </row>
    <row r="21" spans="1:6" ht="12.75">
      <c r="A21" s="78"/>
      <c r="B21" s="14" t="s">
        <v>181</v>
      </c>
      <c r="C21" s="14" t="s">
        <v>57</v>
      </c>
      <c r="D21" s="14" t="s">
        <v>8</v>
      </c>
      <c r="E21" s="65">
        <v>2</v>
      </c>
      <c r="F21" s="68">
        <v>3000</v>
      </c>
    </row>
    <row r="22" spans="1:6" ht="12.75">
      <c r="A22" s="78"/>
      <c r="B22" s="78"/>
      <c r="C22" s="14" t="s">
        <v>85</v>
      </c>
      <c r="D22" s="14" t="s">
        <v>8</v>
      </c>
      <c r="E22" s="65">
        <v>5</v>
      </c>
      <c r="F22" s="68">
        <v>3500</v>
      </c>
    </row>
    <row r="23" spans="1:6" ht="12.75">
      <c r="A23" s="78"/>
      <c r="B23" s="78"/>
      <c r="C23" s="14" t="s">
        <v>109</v>
      </c>
      <c r="D23" s="14" t="s">
        <v>8</v>
      </c>
      <c r="E23" s="65">
        <v>5</v>
      </c>
      <c r="F23" s="68">
        <v>4000</v>
      </c>
    </row>
    <row r="24" spans="1:6" ht="12.75">
      <c r="A24" s="78"/>
      <c r="B24" s="78"/>
      <c r="C24" s="14" t="s">
        <v>155</v>
      </c>
      <c r="D24" s="14" t="s">
        <v>4</v>
      </c>
      <c r="E24" s="65">
        <v>340</v>
      </c>
      <c r="F24" s="68">
        <v>30600</v>
      </c>
    </row>
    <row r="25" spans="1:6" ht="12.75">
      <c r="A25" s="78"/>
      <c r="B25" s="78"/>
      <c r="C25" s="14" t="s">
        <v>154</v>
      </c>
      <c r="D25" s="14" t="s">
        <v>4</v>
      </c>
      <c r="E25" s="65">
        <v>340</v>
      </c>
      <c r="F25" s="68">
        <v>34000</v>
      </c>
    </row>
    <row r="26" spans="1:6" ht="12.75">
      <c r="A26" s="78"/>
      <c r="B26" s="14" t="s">
        <v>215</v>
      </c>
      <c r="C26" s="14" t="s">
        <v>107</v>
      </c>
      <c r="D26" s="14" t="s">
        <v>8</v>
      </c>
      <c r="E26" s="65">
        <v>5</v>
      </c>
      <c r="F26" s="68">
        <v>5000</v>
      </c>
    </row>
    <row r="27" spans="1:6" ht="12.75">
      <c r="A27" s="78"/>
      <c r="B27" s="78"/>
      <c r="C27" s="14" t="s">
        <v>120</v>
      </c>
      <c r="D27" s="14" t="s">
        <v>5</v>
      </c>
      <c r="E27" s="65">
        <v>1</v>
      </c>
      <c r="F27" s="68">
        <v>30000</v>
      </c>
    </row>
    <row r="28" spans="1:6" ht="12.75">
      <c r="A28" s="78"/>
      <c r="B28" s="78"/>
      <c r="C28" s="14" t="s">
        <v>155</v>
      </c>
      <c r="D28" s="14" t="s">
        <v>4</v>
      </c>
      <c r="E28" s="65">
        <v>235</v>
      </c>
      <c r="F28" s="68">
        <v>21150</v>
      </c>
    </row>
    <row r="29" spans="1:6" ht="12.75">
      <c r="A29" s="78"/>
      <c r="B29" s="78"/>
      <c r="C29" s="14" t="s">
        <v>156</v>
      </c>
      <c r="D29" s="14" t="s">
        <v>4</v>
      </c>
      <c r="E29" s="65">
        <v>235</v>
      </c>
      <c r="F29" s="68">
        <v>28200</v>
      </c>
    </row>
    <row r="30" spans="1:6" ht="12.75">
      <c r="A30" s="14" t="s">
        <v>83</v>
      </c>
      <c r="B30" s="14" t="s">
        <v>86</v>
      </c>
      <c r="C30" s="14" t="s">
        <v>43</v>
      </c>
      <c r="D30" s="14" t="s">
        <v>5</v>
      </c>
      <c r="E30" s="65">
        <v>2</v>
      </c>
      <c r="F30" s="68">
        <v>50000</v>
      </c>
    </row>
    <row r="31" spans="1:6" ht="12.75">
      <c r="A31" s="78"/>
      <c r="B31" s="78"/>
      <c r="C31" s="14" t="s">
        <v>57</v>
      </c>
      <c r="D31" s="14" t="s">
        <v>8</v>
      </c>
      <c r="E31" s="65">
        <v>7</v>
      </c>
      <c r="F31" s="68">
        <v>10500</v>
      </c>
    </row>
    <row r="32" spans="1:6" ht="12.75">
      <c r="A32" s="78"/>
      <c r="B32" s="78"/>
      <c r="C32" s="14" t="s">
        <v>85</v>
      </c>
      <c r="D32" s="14" t="s">
        <v>8</v>
      </c>
      <c r="E32" s="65">
        <v>31</v>
      </c>
      <c r="F32" s="68">
        <v>21700</v>
      </c>
    </row>
    <row r="33" spans="1:6" ht="12.75">
      <c r="A33" s="78"/>
      <c r="B33" s="78"/>
      <c r="C33" s="14" t="s">
        <v>107</v>
      </c>
      <c r="D33" s="14" t="s">
        <v>8</v>
      </c>
      <c r="E33" s="65">
        <v>31</v>
      </c>
      <c r="F33" s="68">
        <v>31000</v>
      </c>
    </row>
    <row r="34" spans="1:6" ht="12.75">
      <c r="A34" s="78"/>
      <c r="B34" s="78"/>
      <c r="C34" s="14" t="s">
        <v>120</v>
      </c>
      <c r="D34" s="14" t="s">
        <v>5</v>
      </c>
      <c r="E34" s="65">
        <v>1</v>
      </c>
      <c r="F34" s="68">
        <v>30000</v>
      </c>
    </row>
    <row r="35" spans="1:6" ht="12.75">
      <c r="A35" s="78"/>
      <c r="B35" s="78"/>
      <c r="C35" s="14" t="s">
        <v>155</v>
      </c>
      <c r="D35" s="14" t="s">
        <v>4</v>
      </c>
      <c r="E35" s="65">
        <v>1220</v>
      </c>
      <c r="F35" s="68">
        <v>109800</v>
      </c>
    </row>
    <row r="36" spans="1:6" ht="12.75">
      <c r="A36" s="78"/>
      <c r="B36" s="78"/>
      <c r="C36" s="14" t="s">
        <v>154</v>
      </c>
      <c r="D36" s="14" t="s">
        <v>4</v>
      </c>
      <c r="E36" s="65">
        <v>1755</v>
      </c>
      <c r="F36" s="68">
        <v>175500</v>
      </c>
    </row>
    <row r="37" spans="1:6" ht="12.75">
      <c r="A37" s="78"/>
      <c r="B37" s="78"/>
      <c r="C37" s="14" t="s">
        <v>156</v>
      </c>
      <c r="D37" s="14" t="s">
        <v>4</v>
      </c>
      <c r="E37" s="65">
        <v>1300</v>
      </c>
      <c r="F37" s="68">
        <v>156000</v>
      </c>
    </row>
    <row r="38" spans="1:6" ht="12.75">
      <c r="A38" s="78"/>
      <c r="B38" s="14" t="s">
        <v>162</v>
      </c>
      <c r="C38" s="14" t="s">
        <v>65</v>
      </c>
      <c r="D38" s="14" t="s">
        <v>12</v>
      </c>
      <c r="E38" s="65">
        <v>300</v>
      </c>
      <c r="F38" s="68">
        <v>105000</v>
      </c>
    </row>
    <row r="39" spans="1:6" ht="12.75">
      <c r="A39" s="78"/>
      <c r="B39" s="78"/>
      <c r="C39" s="14" t="s">
        <v>48</v>
      </c>
      <c r="D39" s="14" t="s">
        <v>11</v>
      </c>
      <c r="E39" s="65">
        <v>20</v>
      </c>
      <c r="F39" s="68">
        <v>30000</v>
      </c>
    </row>
    <row r="40" spans="1:6" ht="12.75">
      <c r="A40" s="78"/>
      <c r="B40" s="78"/>
      <c r="C40" s="14" t="s">
        <v>98</v>
      </c>
      <c r="D40" s="14" t="s">
        <v>9</v>
      </c>
      <c r="E40" s="65">
        <v>36</v>
      </c>
      <c r="F40" s="68">
        <v>43200</v>
      </c>
    </row>
    <row r="41" spans="1:6" ht="12.75">
      <c r="A41" s="78"/>
      <c r="B41" s="78"/>
      <c r="C41" s="14" t="s">
        <v>63</v>
      </c>
      <c r="D41" s="14" t="s">
        <v>5</v>
      </c>
      <c r="E41" s="65">
        <v>1</v>
      </c>
      <c r="F41" s="68">
        <v>15000</v>
      </c>
    </row>
    <row r="42" spans="1:6" ht="12.75">
      <c r="A42" s="78"/>
      <c r="B42" s="78"/>
      <c r="C42" s="14" t="s">
        <v>147</v>
      </c>
      <c r="D42" s="14" t="s">
        <v>8</v>
      </c>
      <c r="E42" s="65">
        <v>1</v>
      </c>
      <c r="F42" s="68">
        <v>30000</v>
      </c>
    </row>
    <row r="43" spans="1:6" ht="12.75">
      <c r="A43" s="78"/>
      <c r="B43" s="78"/>
      <c r="C43" s="14" t="s">
        <v>144</v>
      </c>
      <c r="D43" s="14" t="s">
        <v>5</v>
      </c>
      <c r="E43" s="65">
        <v>1</v>
      </c>
      <c r="F43" s="68">
        <v>70000</v>
      </c>
    </row>
    <row r="44" spans="1:6" ht="12.75">
      <c r="A44" s="78"/>
      <c r="B44" s="78"/>
      <c r="C44" s="14" t="s">
        <v>151</v>
      </c>
      <c r="D44" s="14" t="s">
        <v>5</v>
      </c>
      <c r="E44" s="65">
        <v>1</v>
      </c>
      <c r="F44" s="68">
        <v>10000</v>
      </c>
    </row>
    <row r="45" spans="1:6" ht="12.75">
      <c r="A45" s="78"/>
      <c r="B45" s="78"/>
      <c r="C45" s="14" t="s">
        <v>155</v>
      </c>
      <c r="D45" s="14" t="s">
        <v>4</v>
      </c>
      <c r="E45" s="65">
        <v>220</v>
      </c>
      <c r="F45" s="68">
        <v>19800</v>
      </c>
    </row>
    <row r="46" spans="1:6" ht="12.75">
      <c r="A46" s="78"/>
      <c r="B46" s="78"/>
      <c r="C46" s="14" t="s">
        <v>154</v>
      </c>
      <c r="D46" s="14" t="s">
        <v>4</v>
      </c>
      <c r="E46" s="65">
        <v>290</v>
      </c>
      <c r="F46" s="68">
        <v>29000</v>
      </c>
    </row>
    <row r="47" spans="1:6" ht="12.75">
      <c r="A47" s="78"/>
      <c r="B47" s="78"/>
      <c r="C47" s="14" t="s">
        <v>156</v>
      </c>
      <c r="D47" s="14" t="s">
        <v>4</v>
      </c>
      <c r="E47" s="65">
        <v>50</v>
      </c>
      <c r="F47" s="68">
        <v>6000</v>
      </c>
    </row>
    <row r="48" spans="1:6" ht="12.75">
      <c r="A48" s="78"/>
      <c r="B48" s="78"/>
      <c r="C48" s="14" t="s">
        <v>210</v>
      </c>
      <c r="D48" s="14">
        <v>1</v>
      </c>
      <c r="E48" s="65">
        <v>1</v>
      </c>
      <c r="F48" s="68">
        <v>15000</v>
      </c>
    </row>
    <row r="49" spans="1:6" ht="12.75">
      <c r="A49" s="78"/>
      <c r="B49" s="14" t="s">
        <v>198</v>
      </c>
      <c r="C49" s="14" t="s">
        <v>43</v>
      </c>
      <c r="D49" s="14" t="s">
        <v>5</v>
      </c>
      <c r="E49" s="65">
        <v>2</v>
      </c>
      <c r="F49" s="68">
        <v>50000</v>
      </c>
    </row>
    <row r="50" spans="1:6" ht="12.75">
      <c r="A50" s="78"/>
      <c r="B50" s="78"/>
      <c r="C50" s="14" t="s">
        <v>57</v>
      </c>
      <c r="D50" s="14" t="s">
        <v>8</v>
      </c>
      <c r="E50" s="65">
        <v>7</v>
      </c>
      <c r="F50" s="68">
        <v>10500</v>
      </c>
    </row>
    <row r="51" spans="1:6" ht="12.75">
      <c r="A51" s="78"/>
      <c r="B51" s="78"/>
      <c r="C51" s="14" t="s">
        <v>85</v>
      </c>
      <c r="D51" s="14" t="s">
        <v>8</v>
      </c>
      <c r="E51" s="65">
        <v>20</v>
      </c>
      <c r="F51" s="68">
        <v>14000</v>
      </c>
    </row>
    <row r="52" spans="1:6" ht="12.75">
      <c r="A52" s="78"/>
      <c r="B52" s="78"/>
      <c r="C52" s="14" t="s">
        <v>91</v>
      </c>
      <c r="D52" s="14" t="s">
        <v>4</v>
      </c>
      <c r="E52" s="65">
        <v>1245</v>
      </c>
      <c r="F52" s="68">
        <v>149400</v>
      </c>
    </row>
    <row r="53" spans="1:6" ht="12.75">
      <c r="A53" s="78"/>
      <c r="B53" s="78"/>
      <c r="C53" s="14" t="s">
        <v>107</v>
      </c>
      <c r="D53" s="14" t="s">
        <v>8</v>
      </c>
      <c r="E53" s="65">
        <v>28</v>
      </c>
      <c r="F53" s="68">
        <v>28000</v>
      </c>
    </row>
    <row r="54" spans="1:6" ht="12.75">
      <c r="A54" s="78"/>
      <c r="B54" s="78"/>
      <c r="C54" s="14" t="s">
        <v>155</v>
      </c>
      <c r="D54" s="14" t="s">
        <v>4</v>
      </c>
      <c r="E54" s="65">
        <v>265</v>
      </c>
      <c r="F54" s="68">
        <v>23850</v>
      </c>
    </row>
    <row r="55" spans="1:6" ht="12.75">
      <c r="A55" s="78"/>
      <c r="B55" s="78"/>
      <c r="C55" s="14" t="s">
        <v>154</v>
      </c>
      <c r="D55" s="14" t="s">
        <v>4</v>
      </c>
      <c r="E55" s="65">
        <v>1760</v>
      </c>
      <c r="F55" s="68">
        <v>176000</v>
      </c>
    </row>
    <row r="56" spans="1:6" ht="12.75">
      <c r="A56" s="78"/>
      <c r="B56" s="78"/>
      <c r="C56" s="14" t="s">
        <v>156</v>
      </c>
      <c r="D56" s="14" t="s">
        <v>4</v>
      </c>
      <c r="E56" s="65">
        <v>300</v>
      </c>
      <c r="F56" s="68">
        <v>36000</v>
      </c>
    </row>
    <row r="57" spans="1:6" ht="12.75">
      <c r="A57" s="78"/>
      <c r="B57" s="14" t="s">
        <v>200</v>
      </c>
      <c r="C57" s="14" t="s">
        <v>57</v>
      </c>
      <c r="D57" s="14" t="s">
        <v>8</v>
      </c>
      <c r="E57" s="65">
        <v>2</v>
      </c>
      <c r="F57" s="68">
        <v>3000</v>
      </c>
    </row>
    <row r="58" spans="1:6" ht="12.75">
      <c r="A58" s="78"/>
      <c r="B58" s="78"/>
      <c r="C58" s="14" t="s">
        <v>85</v>
      </c>
      <c r="D58" s="14" t="s">
        <v>8</v>
      </c>
      <c r="E58" s="65">
        <v>16</v>
      </c>
      <c r="F58" s="68">
        <v>11200</v>
      </c>
    </row>
    <row r="59" spans="1:6" ht="12.75">
      <c r="A59" s="78"/>
      <c r="B59" s="78"/>
      <c r="C59" s="14" t="s">
        <v>79</v>
      </c>
      <c r="D59" s="14" t="s">
        <v>4</v>
      </c>
      <c r="E59" s="65">
        <v>780</v>
      </c>
      <c r="F59" s="68">
        <v>78000</v>
      </c>
    </row>
    <row r="60" spans="1:6" ht="12.75">
      <c r="A60" s="78"/>
      <c r="B60" s="78"/>
      <c r="C60" s="14" t="s">
        <v>91</v>
      </c>
      <c r="D60" s="14" t="s">
        <v>4</v>
      </c>
      <c r="E60" s="65">
        <v>610</v>
      </c>
      <c r="F60" s="68">
        <v>73200</v>
      </c>
    </row>
    <row r="61" spans="1:6" ht="12.75">
      <c r="A61" s="78"/>
      <c r="B61" s="78"/>
      <c r="C61" s="14" t="s">
        <v>107</v>
      </c>
      <c r="D61" s="14" t="s">
        <v>8</v>
      </c>
      <c r="E61" s="65">
        <v>13</v>
      </c>
      <c r="F61" s="68">
        <v>13000</v>
      </c>
    </row>
    <row r="62" spans="1:6" ht="12.75">
      <c r="A62" s="78"/>
      <c r="B62" s="78"/>
      <c r="C62" s="14" t="s">
        <v>109</v>
      </c>
      <c r="D62" s="14" t="s">
        <v>8</v>
      </c>
      <c r="E62" s="65">
        <v>2</v>
      </c>
      <c r="F62" s="68">
        <v>1600</v>
      </c>
    </row>
    <row r="63" spans="1:6" ht="12.75">
      <c r="A63" s="78"/>
      <c r="B63" s="78"/>
      <c r="C63" s="14" t="s">
        <v>155</v>
      </c>
      <c r="D63" s="14" t="s">
        <v>4</v>
      </c>
      <c r="E63" s="65">
        <v>120</v>
      </c>
      <c r="F63" s="68">
        <v>10800</v>
      </c>
    </row>
    <row r="64" spans="1:6" ht="12.75">
      <c r="A64" s="14" t="s">
        <v>102</v>
      </c>
      <c r="B64" s="14" t="s">
        <v>104</v>
      </c>
      <c r="C64" s="14" t="s">
        <v>43</v>
      </c>
      <c r="D64" s="14" t="s">
        <v>5</v>
      </c>
      <c r="E64" s="65">
        <v>2</v>
      </c>
      <c r="F64" s="68">
        <v>50000</v>
      </c>
    </row>
    <row r="65" spans="1:6" ht="12.75">
      <c r="A65" s="78"/>
      <c r="B65" s="78"/>
      <c r="C65" s="14" t="s">
        <v>155</v>
      </c>
      <c r="D65" s="14" t="s">
        <v>4</v>
      </c>
      <c r="E65" s="65">
        <v>610</v>
      </c>
      <c r="F65" s="68">
        <v>54900</v>
      </c>
    </row>
    <row r="66" spans="1:6" ht="12.75">
      <c r="A66" s="78"/>
      <c r="B66" s="78"/>
      <c r="C66" s="14" t="s">
        <v>154</v>
      </c>
      <c r="D66" s="14" t="s">
        <v>4</v>
      </c>
      <c r="E66" s="65">
        <v>800</v>
      </c>
      <c r="F66" s="68">
        <v>80000</v>
      </c>
    </row>
    <row r="67" spans="1:6" ht="12.75">
      <c r="A67" s="78"/>
      <c r="B67" s="78"/>
      <c r="C67" s="14" t="s">
        <v>156</v>
      </c>
      <c r="D67" s="14" t="s">
        <v>4</v>
      </c>
      <c r="E67" s="65">
        <v>380</v>
      </c>
      <c r="F67" s="68">
        <v>45600</v>
      </c>
    </row>
    <row r="68" spans="1:6" ht="12.75">
      <c r="A68" s="78"/>
      <c r="B68" s="14" t="s">
        <v>103</v>
      </c>
      <c r="C68" s="14" t="s">
        <v>85</v>
      </c>
      <c r="D68" s="14" t="s">
        <v>8</v>
      </c>
      <c r="E68" s="65">
        <v>20</v>
      </c>
      <c r="F68" s="68">
        <v>14000</v>
      </c>
    </row>
    <row r="69" spans="1:6" ht="12.75">
      <c r="A69" s="78"/>
      <c r="B69" s="78"/>
      <c r="C69" s="14" t="s">
        <v>79</v>
      </c>
      <c r="D69" s="14" t="s">
        <v>4</v>
      </c>
      <c r="E69" s="65">
        <v>900</v>
      </c>
      <c r="F69" s="68">
        <v>90000</v>
      </c>
    </row>
    <row r="70" spans="1:6" ht="12.75">
      <c r="A70" s="78"/>
      <c r="B70" s="78"/>
      <c r="C70" s="14" t="s">
        <v>91</v>
      </c>
      <c r="D70" s="14" t="s">
        <v>4</v>
      </c>
      <c r="E70" s="65">
        <v>1250</v>
      </c>
      <c r="F70" s="68">
        <v>150000</v>
      </c>
    </row>
    <row r="71" spans="1:6" ht="12.75">
      <c r="A71" s="78"/>
      <c r="B71" s="78"/>
      <c r="C71" s="14" t="s">
        <v>95</v>
      </c>
      <c r="D71" s="14" t="s">
        <v>4</v>
      </c>
      <c r="E71" s="65">
        <v>155</v>
      </c>
      <c r="F71" s="68">
        <v>13950</v>
      </c>
    </row>
    <row r="72" spans="1:6" ht="12.75">
      <c r="A72" s="78"/>
      <c r="B72" s="78"/>
      <c r="C72" s="14" t="s">
        <v>107</v>
      </c>
      <c r="D72" s="14" t="s">
        <v>8</v>
      </c>
      <c r="E72" s="65">
        <v>20</v>
      </c>
      <c r="F72" s="68">
        <v>20000</v>
      </c>
    </row>
    <row r="73" spans="1:6" ht="12.75">
      <c r="A73" s="78"/>
      <c r="B73" s="14" t="s">
        <v>105</v>
      </c>
      <c r="C73" s="14" t="s">
        <v>85</v>
      </c>
      <c r="D73" s="14" t="s">
        <v>8</v>
      </c>
      <c r="E73" s="65">
        <v>17</v>
      </c>
      <c r="F73" s="68">
        <v>11900</v>
      </c>
    </row>
    <row r="74" spans="1:6" ht="12.75">
      <c r="A74" s="78"/>
      <c r="B74" s="78"/>
      <c r="C74" s="14" t="s">
        <v>109</v>
      </c>
      <c r="D74" s="14" t="s">
        <v>8</v>
      </c>
      <c r="E74" s="65">
        <v>17</v>
      </c>
      <c r="F74" s="68">
        <v>13600</v>
      </c>
    </row>
    <row r="75" spans="1:6" ht="12.75">
      <c r="A75" s="78"/>
      <c r="B75" s="78"/>
      <c r="C75" s="14" t="s">
        <v>155</v>
      </c>
      <c r="D75" s="14" t="s">
        <v>4</v>
      </c>
      <c r="E75" s="65">
        <v>830</v>
      </c>
      <c r="F75" s="68">
        <v>74700</v>
      </c>
    </row>
    <row r="76" spans="1:6" ht="12.75">
      <c r="A76" s="78"/>
      <c r="B76" s="78"/>
      <c r="C76" s="14" t="s">
        <v>154</v>
      </c>
      <c r="D76" s="14" t="s">
        <v>4</v>
      </c>
      <c r="E76" s="65">
        <v>815</v>
      </c>
      <c r="F76" s="68">
        <v>81500</v>
      </c>
    </row>
    <row r="77" spans="1:6" ht="12.75">
      <c r="A77" s="78"/>
      <c r="B77" s="14" t="s">
        <v>167</v>
      </c>
      <c r="C77" s="14" t="s">
        <v>65</v>
      </c>
      <c r="D77" s="14" t="s">
        <v>12</v>
      </c>
      <c r="E77" s="65">
        <v>300</v>
      </c>
      <c r="F77" s="68">
        <v>105000</v>
      </c>
    </row>
    <row r="78" spans="1:6" ht="12.75">
      <c r="A78" s="78"/>
      <c r="B78" s="78"/>
      <c r="C78" s="14" t="s">
        <v>48</v>
      </c>
      <c r="D78" s="14" t="s">
        <v>11</v>
      </c>
      <c r="E78" s="65">
        <v>20</v>
      </c>
      <c r="F78" s="68">
        <v>30000</v>
      </c>
    </row>
    <row r="79" spans="1:6" ht="12.75">
      <c r="A79" s="78"/>
      <c r="B79" s="78"/>
      <c r="C79" s="14" t="s">
        <v>98</v>
      </c>
      <c r="D79" s="14" t="s">
        <v>9</v>
      </c>
      <c r="E79" s="65">
        <v>36</v>
      </c>
      <c r="F79" s="68">
        <v>43200</v>
      </c>
    </row>
    <row r="80" spans="1:6" ht="12.75">
      <c r="A80" s="78"/>
      <c r="B80" s="78"/>
      <c r="C80" s="14" t="s">
        <v>63</v>
      </c>
      <c r="D80" s="14" t="s">
        <v>5</v>
      </c>
      <c r="E80" s="65">
        <v>1</v>
      </c>
      <c r="F80" s="68">
        <v>15000</v>
      </c>
    </row>
    <row r="81" spans="1:6" ht="12.75">
      <c r="A81" s="78"/>
      <c r="B81" s="78"/>
      <c r="C81" s="14" t="s">
        <v>144</v>
      </c>
      <c r="D81" s="14" t="s">
        <v>5</v>
      </c>
      <c r="E81" s="65">
        <v>1</v>
      </c>
      <c r="F81" s="68">
        <v>70000</v>
      </c>
    </row>
    <row r="82" spans="1:6" ht="12.75">
      <c r="A82" s="78"/>
      <c r="B82" s="78"/>
      <c r="C82" s="14" t="s">
        <v>151</v>
      </c>
      <c r="D82" s="14" t="s">
        <v>5</v>
      </c>
      <c r="E82" s="65">
        <v>1</v>
      </c>
      <c r="F82" s="68">
        <v>10000</v>
      </c>
    </row>
    <row r="83" spans="1:6" ht="12.75">
      <c r="A83" s="78"/>
      <c r="B83" s="78"/>
      <c r="C83" s="14" t="s">
        <v>172</v>
      </c>
      <c r="D83" s="14">
        <v>1</v>
      </c>
      <c r="E83" s="65">
        <v>1</v>
      </c>
      <c r="F83" s="68">
        <v>15000</v>
      </c>
    </row>
    <row r="84" spans="1:6" ht="12.75">
      <c r="A84" s="78"/>
      <c r="B84" s="14" t="s">
        <v>159</v>
      </c>
      <c r="C84" s="14" t="s">
        <v>65</v>
      </c>
      <c r="D84" s="14" t="s">
        <v>12</v>
      </c>
      <c r="E84" s="65">
        <v>300</v>
      </c>
      <c r="F84" s="68">
        <v>105000</v>
      </c>
    </row>
    <row r="85" spans="1:6" ht="12.75">
      <c r="A85" s="78"/>
      <c r="B85" s="78"/>
      <c r="C85" s="14" t="s">
        <v>48</v>
      </c>
      <c r="D85" s="14" t="s">
        <v>11</v>
      </c>
      <c r="E85" s="65">
        <v>20</v>
      </c>
      <c r="F85" s="68">
        <v>30000</v>
      </c>
    </row>
    <row r="86" spans="1:6" ht="12.75">
      <c r="A86" s="78"/>
      <c r="B86" s="78"/>
      <c r="C86" s="14" t="s">
        <v>98</v>
      </c>
      <c r="D86" s="14" t="s">
        <v>9</v>
      </c>
      <c r="E86" s="65">
        <v>36</v>
      </c>
      <c r="F86" s="68">
        <v>43200</v>
      </c>
    </row>
    <row r="87" spans="1:6" ht="12.75">
      <c r="A87" s="78"/>
      <c r="B87" s="78"/>
      <c r="C87" s="14" t="s">
        <v>63</v>
      </c>
      <c r="D87" s="14" t="s">
        <v>5</v>
      </c>
      <c r="E87" s="65">
        <v>1</v>
      </c>
      <c r="F87" s="68">
        <v>15000</v>
      </c>
    </row>
    <row r="88" spans="1:6" ht="12.75">
      <c r="A88" s="78"/>
      <c r="B88" s="78"/>
      <c r="C88" s="14" t="s">
        <v>144</v>
      </c>
      <c r="D88" s="14" t="s">
        <v>5</v>
      </c>
      <c r="E88" s="65">
        <v>1</v>
      </c>
      <c r="F88" s="68">
        <v>70000</v>
      </c>
    </row>
    <row r="89" spans="1:6" ht="12.75">
      <c r="A89" s="78"/>
      <c r="B89" s="78"/>
      <c r="C89" s="14" t="s">
        <v>151</v>
      </c>
      <c r="D89" s="14" t="s">
        <v>5</v>
      </c>
      <c r="E89" s="65">
        <v>1</v>
      </c>
      <c r="F89" s="68">
        <v>10000</v>
      </c>
    </row>
    <row r="90" spans="1:6" ht="12.75">
      <c r="A90" s="78"/>
      <c r="B90" s="78"/>
      <c r="C90" s="14" t="s">
        <v>172</v>
      </c>
      <c r="D90" s="14">
        <v>1</v>
      </c>
      <c r="E90" s="65">
        <v>1</v>
      </c>
      <c r="F90" s="68">
        <v>15000</v>
      </c>
    </row>
    <row r="91" spans="1:6" ht="12.75">
      <c r="A91" s="78"/>
      <c r="B91" s="14" t="s">
        <v>190</v>
      </c>
      <c r="C91" s="14" t="s">
        <v>155</v>
      </c>
      <c r="D91" s="14" t="s">
        <v>4</v>
      </c>
      <c r="E91" s="65">
        <v>400</v>
      </c>
      <c r="F91" s="68">
        <v>36000</v>
      </c>
    </row>
    <row r="92" spans="1:6" ht="12.75">
      <c r="A92" s="78"/>
      <c r="B92" s="78"/>
      <c r="C92" s="14" t="s">
        <v>154</v>
      </c>
      <c r="D92" s="14" t="s">
        <v>4</v>
      </c>
      <c r="E92" s="65">
        <v>600</v>
      </c>
      <c r="F92" s="68">
        <v>60000</v>
      </c>
    </row>
    <row r="93" spans="1:6" ht="12.75">
      <c r="A93" s="14" t="s">
        <v>134</v>
      </c>
      <c r="B93" s="14" t="s">
        <v>124</v>
      </c>
      <c r="C93" s="14" t="s">
        <v>43</v>
      </c>
      <c r="D93" s="14" t="s">
        <v>5</v>
      </c>
      <c r="E93" s="65">
        <v>1</v>
      </c>
      <c r="F93" s="68">
        <v>25000</v>
      </c>
    </row>
    <row r="94" spans="1:6" ht="12.75">
      <c r="A94" s="78"/>
      <c r="B94" s="78"/>
      <c r="C94" s="14" t="s">
        <v>85</v>
      </c>
      <c r="D94" s="14" t="s">
        <v>8</v>
      </c>
      <c r="E94" s="65">
        <v>17</v>
      </c>
      <c r="F94" s="68">
        <v>11900</v>
      </c>
    </row>
    <row r="95" spans="1:6" ht="12.75">
      <c r="A95" s="78"/>
      <c r="B95" s="78"/>
      <c r="C95" s="14" t="s">
        <v>48</v>
      </c>
      <c r="D95" s="14" t="s">
        <v>11</v>
      </c>
      <c r="E95" s="65">
        <v>5</v>
      </c>
      <c r="F95" s="68">
        <v>7500</v>
      </c>
    </row>
    <row r="96" spans="1:6" ht="12.75">
      <c r="A96" s="78"/>
      <c r="B96" s="78"/>
      <c r="C96" s="14" t="s">
        <v>98</v>
      </c>
      <c r="D96" s="14" t="s">
        <v>9</v>
      </c>
      <c r="E96" s="65">
        <v>20</v>
      </c>
      <c r="F96" s="68">
        <v>24000</v>
      </c>
    </row>
    <row r="97" spans="1:6" ht="12.75">
      <c r="A97" s="78"/>
      <c r="B97" s="78"/>
      <c r="C97" s="14" t="s">
        <v>107</v>
      </c>
      <c r="D97" s="14" t="s">
        <v>8</v>
      </c>
      <c r="E97" s="65">
        <v>17</v>
      </c>
      <c r="F97" s="68">
        <v>17000</v>
      </c>
    </row>
    <row r="98" spans="1:6" ht="12.75">
      <c r="A98" s="78"/>
      <c r="B98" s="78"/>
      <c r="C98" s="14" t="s">
        <v>6</v>
      </c>
      <c r="D98" s="14" t="s">
        <v>5</v>
      </c>
      <c r="E98" s="65">
        <v>1</v>
      </c>
      <c r="F98" s="68">
        <v>20000</v>
      </c>
    </row>
    <row r="99" spans="1:6" ht="12.75">
      <c r="A99" s="78"/>
      <c r="B99" s="78"/>
      <c r="C99" s="14" t="s">
        <v>147</v>
      </c>
      <c r="D99" s="14" t="s">
        <v>8</v>
      </c>
      <c r="E99" s="65">
        <v>1</v>
      </c>
      <c r="F99" s="68">
        <v>30000</v>
      </c>
    </row>
    <row r="100" spans="1:6" ht="12.75">
      <c r="A100" s="78"/>
      <c r="B100" s="78"/>
      <c r="C100" s="14" t="s">
        <v>155</v>
      </c>
      <c r="D100" s="14" t="s">
        <v>4</v>
      </c>
      <c r="E100" s="65">
        <v>50</v>
      </c>
      <c r="F100" s="68">
        <v>4500</v>
      </c>
    </row>
    <row r="101" spans="1:6" ht="12.75">
      <c r="A101" s="78"/>
      <c r="B101" s="78"/>
      <c r="C101" s="14" t="s">
        <v>154</v>
      </c>
      <c r="D101" s="14" t="s">
        <v>4</v>
      </c>
      <c r="E101" s="65">
        <v>520</v>
      </c>
      <c r="F101" s="68">
        <v>52000</v>
      </c>
    </row>
    <row r="102" spans="1:6" ht="12.75">
      <c r="A102" s="78"/>
      <c r="B102" s="78"/>
      <c r="C102" s="14" t="s">
        <v>156</v>
      </c>
      <c r="D102" s="14" t="s">
        <v>4</v>
      </c>
      <c r="E102" s="65">
        <v>520</v>
      </c>
      <c r="F102" s="68">
        <v>62400</v>
      </c>
    </row>
    <row r="103" spans="1:6" ht="12.75">
      <c r="A103" s="78"/>
      <c r="B103" s="78"/>
      <c r="C103" s="14" t="s">
        <v>172</v>
      </c>
      <c r="D103" s="14" t="s">
        <v>5</v>
      </c>
      <c r="E103" s="65">
        <v>1</v>
      </c>
      <c r="F103" s="68">
        <v>15000</v>
      </c>
    </row>
    <row r="104" spans="1:6" ht="12.75">
      <c r="A104" s="78"/>
      <c r="B104" s="14" t="s">
        <v>176</v>
      </c>
      <c r="C104" s="14" t="s">
        <v>57</v>
      </c>
      <c r="D104" s="14" t="s">
        <v>8</v>
      </c>
      <c r="E104" s="65">
        <v>5</v>
      </c>
      <c r="F104" s="68">
        <v>7500</v>
      </c>
    </row>
    <row r="105" spans="1:6" ht="12.75">
      <c r="A105" s="78"/>
      <c r="B105" s="78"/>
      <c r="C105" s="14" t="s">
        <v>79</v>
      </c>
      <c r="D105" s="14" t="s">
        <v>4</v>
      </c>
      <c r="E105" s="65">
        <v>1180</v>
      </c>
      <c r="F105" s="68">
        <v>118000</v>
      </c>
    </row>
    <row r="106" spans="1:6" ht="12.75">
      <c r="A106" s="78"/>
      <c r="B106" s="78"/>
      <c r="C106" s="14" t="s">
        <v>91</v>
      </c>
      <c r="D106" s="14" t="s">
        <v>4</v>
      </c>
      <c r="E106" s="65">
        <v>1430</v>
      </c>
      <c r="F106" s="68">
        <v>171600</v>
      </c>
    </row>
    <row r="107" spans="1:6" ht="12.75">
      <c r="A107" s="14" t="s">
        <v>174</v>
      </c>
      <c r="B107" s="14" t="s">
        <v>170</v>
      </c>
      <c r="C107" s="14" t="s">
        <v>118</v>
      </c>
      <c r="D107" s="14" t="s">
        <v>14</v>
      </c>
      <c r="E107" s="65">
        <v>200</v>
      </c>
      <c r="F107" s="68">
        <v>120000</v>
      </c>
    </row>
    <row r="108" spans="1:6" ht="12.75">
      <c r="A108" s="78"/>
      <c r="B108" s="78"/>
      <c r="C108" s="14" t="s">
        <v>111</v>
      </c>
      <c r="D108" s="14" t="s">
        <v>5</v>
      </c>
      <c r="E108" s="65">
        <v>1</v>
      </c>
      <c r="F108" s="68">
        <v>15000</v>
      </c>
    </row>
    <row r="109" spans="1:6" ht="12.75">
      <c r="A109" s="78"/>
      <c r="B109" s="78"/>
      <c r="C109" s="14" t="s">
        <v>112</v>
      </c>
      <c r="D109" s="14">
        <v>1</v>
      </c>
      <c r="E109" s="65">
        <v>1</v>
      </c>
      <c r="F109" s="68">
        <v>15000</v>
      </c>
    </row>
    <row r="110" spans="1:6" ht="12.75">
      <c r="A110" s="78"/>
      <c r="B110" s="14" t="s">
        <v>184</v>
      </c>
      <c r="C110" s="14" t="s">
        <v>155</v>
      </c>
      <c r="D110" s="14" t="s">
        <v>4</v>
      </c>
      <c r="E110" s="65">
        <v>2850</v>
      </c>
      <c r="F110" s="68">
        <v>256500</v>
      </c>
    </row>
    <row r="111" spans="1:6" ht="12.75">
      <c r="A111" s="14" t="s">
        <v>101</v>
      </c>
      <c r="B111" s="14" t="s">
        <v>96</v>
      </c>
      <c r="C111" s="14" t="s">
        <v>91</v>
      </c>
      <c r="D111" s="14" t="s">
        <v>4</v>
      </c>
      <c r="E111" s="65">
        <v>550</v>
      </c>
      <c r="F111" s="68">
        <v>66000</v>
      </c>
    </row>
    <row r="112" spans="1:6" ht="12.75">
      <c r="A112" s="78"/>
      <c r="B112" s="14" t="s">
        <v>178</v>
      </c>
      <c r="C112" s="14" t="s">
        <v>126</v>
      </c>
      <c r="D112" s="14" t="s">
        <v>5</v>
      </c>
      <c r="E112" s="65">
        <v>1</v>
      </c>
      <c r="F112" s="68">
        <v>20000</v>
      </c>
    </row>
    <row r="113" spans="1:6" ht="12.75">
      <c r="A113" s="14" t="s">
        <v>164</v>
      </c>
      <c r="B113" s="14" t="s">
        <v>163</v>
      </c>
      <c r="C113" s="14" t="s">
        <v>43</v>
      </c>
      <c r="D113" s="14" t="s">
        <v>5</v>
      </c>
      <c r="E113" s="65">
        <v>1</v>
      </c>
      <c r="F113" s="68">
        <v>25000</v>
      </c>
    </row>
    <row r="114" spans="1:6" ht="12.75">
      <c r="A114" s="78"/>
      <c r="B114" s="78"/>
      <c r="C114" s="14" t="s">
        <v>118</v>
      </c>
      <c r="D114" s="14" t="s">
        <v>14</v>
      </c>
      <c r="E114" s="65">
        <v>150</v>
      </c>
      <c r="F114" s="68">
        <v>90000</v>
      </c>
    </row>
    <row r="115" spans="1:6" ht="12.75">
      <c r="A115" s="78"/>
      <c r="B115" s="78"/>
      <c r="C115" s="14" t="s">
        <v>111</v>
      </c>
      <c r="D115" s="14" t="s">
        <v>5</v>
      </c>
      <c r="E115" s="65">
        <v>1</v>
      </c>
      <c r="F115" s="68">
        <v>15000</v>
      </c>
    </row>
    <row r="116" spans="1:6" ht="12.75">
      <c r="A116" s="78"/>
      <c r="B116" s="78"/>
      <c r="C116" s="14" t="s">
        <v>112</v>
      </c>
      <c r="D116" s="14">
        <v>1</v>
      </c>
      <c r="E116" s="65">
        <v>1</v>
      </c>
      <c r="F116" s="68">
        <v>15000</v>
      </c>
    </row>
    <row r="117" spans="1:6" ht="12.75">
      <c r="A117" s="78"/>
      <c r="B117" s="78"/>
      <c r="C117" s="14" t="s">
        <v>155</v>
      </c>
      <c r="D117" s="14" t="s">
        <v>4</v>
      </c>
      <c r="E117" s="65">
        <v>500</v>
      </c>
      <c r="F117" s="68">
        <v>45000</v>
      </c>
    </row>
    <row r="118" spans="1:6" ht="12.75">
      <c r="A118" s="78"/>
      <c r="B118" s="14" t="s">
        <v>165</v>
      </c>
      <c r="C118" s="14" t="s">
        <v>111</v>
      </c>
      <c r="D118" s="14" t="s">
        <v>5</v>
      </c>
      <c r="E118" s="65">
        <v>1</v>
      </c>
      <c r="F118" s="68">
        <v>15000</v>
      </c>
    </row>
    <row r="119" spans="1:6" ht="12.75">
      <c r="A119" s="78"/>
      <c r="B119" s="78"/>
      <c r="C119" s="14" t="s">
        <v>112</v>
      </c>
      <c r="D119" s="14">
        <v>1</v>
      </c>
      <c r="E119" s="65">
        <v>1</v>
      </c>
      <c r="F119" s="68">
        <v>15000</v>
      </c>
    </row>
    <row r="120" spans="1:6" ht="12.75">
      <c r="A120" s="78"/>
      <c r="B120" s="78"/>
      <c r="C120" s="14" t="s">
        <v>117</v>
      </c>
      <c r="D120" s="14" t="s">
        <v>14</v>
      </c>
      <c r="E120" s="65">
        <v>75</v>
      </c>
      <c r="F120" s="68">
        <v>52500</v>
      </c>
    </row>
    <row r="121" spans="1:6" ht="12.75">
      <c r="A121" s="78"/>
      <c r="B121" s="78"/>
      <c r="C121" s="14" t="s">
        <v>169</v>
      </c>
      <c r="D121" s="14" t="s">
        <v>9</v>
      </c>
      <c r="E121" s="65">
        <v>500</v>
      </c>
      <c r="F121" s="68">
        <v>20000</v>
      </c>
    </row>
    <row r="122" spans="1:6" ht="12.75">
      <c r="A122" s="78"/>
      <c r="B122" s="14" t="s">
        <v>166</v>
      </c>
      <c r="C122" s="14" t="s">
        <v>118</v>
      </c>
      <c r="D122" s="14" t="s">
        <v>14</v>
      </c>
      <c r="E122" s="65">
        <v>510</v>
      </c>
      <c r="F122" s="68">
        <v>306000</v>
      </c>
    </row>
    <row r="123" spans="1:6" ht="12.75">
      <c r="A123" s="78"/>
      <c r="B123" s="78"/>
      <c r="C123" s="14" t="s">
        <v>111</v>
      </c>
      <c r="D123" s="14" t="s">
        <v>5</v>
      </c>
      <c r="E123" s="65">
        <v>1</v>
      </c>
      <c r="F123" s="68">
        <v>15000</v>
      </c>
    </row>
    <row r="124" spans="1:6" ht="12.75">
      <c r="A124" s="78"/>
      <c r="B124" s="78"/>
      <c r="C124" s="14" t="s">
        <v>112</v>
      </c>
      <c r="D124" s="14">
        <v>1</v>
      </c>
      <c r="E124" s="65">
        <v>1</v>
      </c>
      <c r="F124" s="68">
        <v>15000</v>
      </c>
    </row>
    <row r="125" spans="1:6" ht="12.75">
      <c r="A125" s="78"/>
      <c r="B125" s="78"/>
      <c r="C125" s="14" t="s">
        <v>121</v>
      </c>
      <c r="D125" s="14" t="s">
        <v>5</v>
      </c>
      <c r="E125" s="65">
        <v>1</v>
      </c>
      <c r="F125" s="68">
        <v>5000</v>
      </c>
    </row>
    <row r="126" spans="1:6" ht="12.75">
      <c r="A126" s="78"/>
      <c r="B126" s="14" t="s">
        <v>302</v>
      </c>
      <c r="C126" s="14" t="s">
        <v>43</v>
      </c>
      <c r="D126" s="14" t="s">
        <v>5</v>
      </c>
      <c r="E126" s="65">
        <v>1</v>
      </c>
      <c r="F126" s="68">
        <v>25000</v>
      </c>
    </row>
    <row r="127" spans="1:6" ht="12.75">
      <c r="A127" s="78"/>
      <c r="B127" s="78"/>
      <c r="C127" s="14" t="s">
        <v>155</v>
      </c>
      <c r="D127" s="14" t="s">
        <v>4</v>
      </c>
      <c r="E127" s="65">
        <v>1850</v>
      </c>
      <c r="F127" s="68">
        <v>166500</v>
      </c>
    </row>
    <row r="128" spans="1:6" ht="12.75">
      <c r="A128" s="78"/>
      <c r="B128" s="14" t="s">
        <v>303</v>
      </c>
      <c r="C128" s="14" t="s">
        <v>120</v>
      </c>
      <c r="D128" s="14" t="s">
        <v>5</v>
      </c>
      <c r="E128" s="65">
        <v>1</v>
      </c>
      <c r="F128" s="68">
        <v>30000</v>
      </c>
    </row>
    <row r="129" spans="1:6" ht="12.75">
      <c r="A129" s="78"/>
      <c r="B129" s="78"/>
      <c r="C129" s="14" t="s">
        <v>155</v>
      </c>
      <c r="D129" s="14" t="s">
        <v>4</v>
      </c>
      <c r="E129" s="65">
        <v>2480</v>
      </c>
      <c r="F129" s="68">
        <v>223200</v>
      </c>
    </row>
    <row r="130" spans="1:6" ht="12.75">
      <c r="A130" s="78"/>
      <c r="B130" s="14" t="s">
        <v>304</v>
      </c>
      <c r="C130" s="14" t="s">
        <v>116</v>
      </c>
      <c r="D130" s="14" t="s">
        <v>5</v>
      </c>
      <c r="E130" s="65">
        <v>1</v>
      </c>
      <c r="F130" s="68">
        <v>15000</v>
      </c>
    </row>
    <row r="131" spans="1:6" ht="12.75">
      <c r="A131" s="78"/>
      <c r="B131" s="78"/>
      <c r="C131" s="14" t="s">
        <v>155</v>
      </c>
      <c r="D131" s="14" t="s">
        <v>4</v>
      </c>
      <c r="E131" s="65">
        <v>2200</v>
      </c>
      <c r="F131" s="68">
        <v>198000</v>
      </c>
    </row>
    <row r="132" spans="1:6" ht="12.75">
      <c r="A132" s="14" t="s">
        <v>227</v>
      </c>
      <c r="B132" s="14" t="s">
        <v>239</v>
      </c>
      <c r="C132" s="14" t="s">
        <v>57</v>
      </c>
      <c r="D132" s="14" t="s">
        <v>8</v>
      </c>
      <c r="E132" s="65">
        <v>20</v>
      </c>
      <c r="F132" s="68">
        <v>30000</v>
      </c>
    </row>
    <row r="133" spans="1:6" ht="12.75">
      <c r="A133" s="78"/>
      <c r="B133" s="78"/>
      <c r="C133" s="14" t="s">
        <v>85</v>
      </c>
      <c r="D133" s="14" t="s">
        <v>8</v>
      </c>
      <c r="E133" s="65">
        <v>293</v>
      </c>
      <c r="F133" s="68">
        <v>205100</v>
      </c>
    </row>
    <row r="134" spans="1:6" ht="12.75">
      <c r="A134" s="78"/>
      <c r="B134" s="78"/>
      <c r="C134" s="14" t="s">
        <v>154</v>
      </c>
      <c r="D134" s="14" t="s">
        <v>4</v>
      </c>
      <c r="E134" s="65">
        <v>7300</v>
      </c>
      <c r="F134" s="68">
        <v>730000</v>
      </c>
    </row>
    <row r="135" spans="1:6" ht="12.75">
      <c r="A135" s="78"/>
      <c r="B135" s="14" t="s">
        <v>240</v>
      </c>
      <c r="C135" s="14" t="s">
        <v>48</v>
      </c>
      <c r="D135" s="14" t="s">
        <v>11</v>
      </c>
      <c r="E135" s="65">
        <v>10</v>
      </c>
      <c r="F135" s="68">
        <v>15000</v>
      </c>
    </row>
    <row r="136" spans="1:6" ht="12.75">
      <c r="A136" s="78"/>
      <c r="B136" s="78"/>
      <c r="C136" s="14" t="s">
        <v>98</v>
      </c>
      <c r="D136" s="14" t="s">
        <v>9</v>
      </c>
      <c r="E136" s="65">
        <v>35</v>
      </c>
      <c r="F136" s="68">
        <v>42000</v>
      </c>
    </row>
    <row r="137" spans="1:6" ht="12.75">
      <c r="A137" s="78"/>
      <c r="B137" s="78"/>
      <c r="C137" s="14" t="s">
        <v>63</v>
      </c>
      <c r="D137" s="14" t="s">
        <v>5</v>
      </c>
      <c r="E137" s="65">
        <v>1</v>
      </c>
      <c r="F137" s="68">
        <v>15000</v>
      </c>
    </row>
    <row r="138" spans="1:6" ht="12.75">
      <c r="A138" s="78"/>
      <c r="B138" s="78"/>
      <c r="C138" s="14" t="s">
        <v>147</v>
      </c>
      <c r="D138" s="14" t="s">
        <v>8</v>
      </c>
      <c r="E138" s="65">
        <v>1</v>
      </c>
      <c r="F138" s="68">
        <v>30000</v>
      </c>
    </row>
    <row r="139" spans="1:6" ht="12.75">
      <c r="A139" s="78"/>
      <c r="B139" s="78"/>
      <c r="C139" s="14" t="s">
        <v>52</v>
      </c>
      <c r="D139" s="14" t="s">
        <v>9</v>
      </c>
      <c r="E139" s="65">
        <v>1200</v>
      </c>
      <c r="F139" s="68">
        <v>30000</v>
      </c>
    </row>
    <row r="140" spans="1:6" ht="12.75">
      <c r="A140" s="78"/>
      <c r="B140" s="78"/>
      <c r="C140" s="14" t="s">
        <v>64</v>
      </c>
      <c r="D140" s="14" t="s">
        <v>12</v>
      </c>
      <c r="E140" s="65">
        <v>150</v>
      </c>
      <c r="F140" s="68">
        <v>67500</v>
      </c>
    </row>
    <row r="141" spans="1:6" ht="12.75">
      <c r="A141" s="78"/>
      <c r="B141" s="78"/>
      <c r="C141" s="14" t="s">
        <v>145</v>
      </c>
      <c r="D141" s="14" t="s">
        <v>5</v>
      </c>
      <c r="E141" s="65">
        <v>1</v>
      </c>
      <c r="F141" s="68">
        <v>60000</v>
      </c>
    </row>
    <row r="142" spans="1:6" ht="12.75">
      <c r="A142" s="78"/>
      <c r="B142" s="14" t="s">
        <v>241</v>
      </c>
      <c r="C142" s="14" t="s">
        <v>107</v>
      </c>
      <c r="D142" s="14" t="s">
        <v>8</v>
      </c>
      <c r="E142" s="65">
        <v>293</v>
      </c>
      <c r="F142" s="68">
        <v>293000</v>
      </c>
    </row>
    <row r="143" spans="1:6" ht="12.75">
      <c r="A143" s="78"/>
      <c r="B143" s="78"/>
      <c r="C143" s="14" t="s">
        <v>120</v>
      </c>
      <c r="D143" s="14" t="s">
        <v>5</v>
      </c>
      <c r="E143" s="65">
        <v>6</v>
      </c>
      <c r="F143" s="68">
        <v>180000</v>
      </c>
    </row>
    <row r="144" spans="1:6" ht="12.75">
      <c r="A144" s="78"/>
      <c r="B144" s="78"/>
      <c r="C144" s="14" t="s">
        <v>155</v>
      </c>
      <c r="D144" s="14" t="s">
        <v>4</v>
      </c>
      <c r="E144" s="65">
        <v>4050</v>
      </c>
      <c r="F144" s="68">
        <v>364500</v>
      </c>
    </row>
    <row r="145" spans="1:6" ht="12.75">
      <c r="A145" s="78"/>
      <c r="B145" s="78"/>
      <c r="C145" s="14" t="s">
        <v>156</v>
      </c>
      <c r="D145" s="14" t="s">
        <v>4</v>
      </c>
      <c r="E145" s="65">
        <v>6380</v>
      </c>
      <c r="F145" s="68">
        <v>765600</v>
      </c>
    </row>
    <row r="146" spans="1:6" ht="12.75">
      <c r="A146" s="14" t="s">
        <v>231</v>
      </c>
      <c r="B146" s="14" t="s">
        <v>305</v>
      </c>
      <c r="C146" s="14" t="s">
        <v>301</v>
      </c>
      <c r="D146" s="14" t="s">
        <v>5</v>
      </c>
      <c r="E146" s="65">
        <v>1</v>
      </c>
      <c r="F146" s="68">
        <v>30000</v>
      </c>
    </row>
    <row r="147" spans="1:6" ht="12.75">
      <c r="A147" s="66" t="s">
        <v>219</v>
      </c>
      <c r="B147" s="66" t="s">
        <v>298</v>
      </c>
      <c r="C147" s="66" t="s">
        <v>300</v>
      </c>
      <c r="D147" s="66" t="s">
        <v>5</v>
      </c>
      <c r="E147" s="67">
        <v>1</v>
      </c>
      <c r="F147" s="69">
        <v>61050</v>
      </c>
    </row>
    <row r="148" spans="1:3" ht="12.75">
      <c r="A148"/>
      <c r="C148"/>
    </row>
    <row r="149" spans="1:3" ht="12.75">
      <c r="A149"/>
      <c r="C149"/>
    </row>
    <row r="150" spans="1:3" ht="12.75">
      <c r="A150"/>
      <c r="C150"/>
    </row>
    <row r="151" spans="1:3" ht="12.75">
      <c r="A151"/>
      <c r="C151"/>
    </row>
    <row r="152" spans="1:3" ht="12.75">
      <c r="A152"/>
      <c r="C152"/>
    </row>
    <row r="153" spans="1:3" ht="12.75">
      <c r="A153"/>
      <c r="C153"/>
    </row>
    <row r="154" spans="1:3" ht="12.75">
      <c r="A154"/>
      <c r="C154"/>
    </row>
    <row r="155" spans="1:3" ht="12.75">
      <c r="A155"/>
      <c r="C15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8.421875" style="0" bestFit="1" customWidth="1"/>
    <col min="3" max="3" width="6.00390625" style="2" bestFit="1" customWidth="1"/>
    <col min="4" max="4" width="15.00390625" style="0" bestFit="1" customWidth="1"/>
    <col min="5" max="5" width="43.8515625" style="1" customWidth="1"/>
    <col min="6" max="6" width="10.28125" style="9" bestFit="1" customWidth="1"/>
    <col min="7" max="7" width="17.140625" style="0" customWidth="1"/>
    <col min="8" max="8" width="18.8515625" style="0" customWidth="1"/>
    <col min="9" max="9" width="16.28125" style="0" bestFit="1" customWidth="1"/>
    <col min="10" max="10" width="19.8515625" style="0" customWidth="1"/>
    <col min="11" max="11" width="12.8515625" style="0" bestFit="1" customWidth="1"/>
    <col min="12" max="12" width="5.28125" style="0" customWidth="1"/>
  </cols>
  <sheetData>
    <row r="1" spans="1:11" s="27" customFormat="1" ht="51">
      <c r="A1" s="24" t="s">
        <v>314</v>
      </c>
      <c r="B1" s="24" t="s">
        <v>1</v>
      </c>
      <c r="C1" s="24" t="s">
        <v>153</v>
      </c>
      <c r="D1" s="24" t="s">
        <v>128</v>
      </c>
      <c r="E1" s="25" t="s">
        <v>127</v>
      </c>
      <c r="F1" s="26" t="s">
        <v>30</v>
      </c>
      <c r="G1" s="25" t="s">
        <v>221</v>
      </c>
      <c r="H1" s="25" t="s">
        <v>222</v>
      </c>
      <c r="I1" s="25" t="s">
        <v>223</v>
      </c>
      <c r="J1" s="25" t="s">
        <v>224</v>
      </c>
      <c r="K1" s="25" t="s">
        <v>225</v>
      </c>
    </row>
    <row r="2" spans="1:11" s="7" customFormat="1" ht="38.25">
      <c r="A2" s="61">
        <v>1</v>
      </c>
      <c r="B2" s="70" t="s">
        <v>179</v>
      </c>
      <c r="C2" s="5" t="s">
        <v>307</v>
      </c>
      <c r="D2" s="70" t="s">
        <v>188</v>
      </c>
      <c r="E2" s="28" t="s">
        <v>209</v>
      </c>
      <c r="F2" s="71">
        <f>GETPIVOTDATA("Maksumus",'Pivot Koond'!$A$3,"Piirkond","Tallinn","Projekt","VMK-Tabasalu-Tiskre")</f>
        <v>250000</v>
      </c>
      <c r="G2" s="72">
        <f>ROUND(F2*5%,0)</f>
        <v>12500</v>
      </c>
      <c r="H2" s="72">
        <f>G2</f>
        <v>12500</v>
      </c>
      <c r="I2" s="72">
        <f aca="true" t="shared" si="0" ref="I2:I31">SUM(F2:H2)</f>
        <v>275000</v>
      </c>
      <c r="J2" s="72">
        <f>ROUND(I2*5%,0)</f>
        <v>13750</v>
      </c>
      <c r="K2" s="72">
        <f aca="true" t="shared" si="1" ref="K2:K31">J2+I2</f>
        <v>288750</v>
      </c>
    </row>
    <row r="3" spans="1:11" s="7" customFormat="1" ht="12.75">
      <c r="A3" s="61">
        <v>2</v>
      </c>
      <c r="B3" s="70" t="s">
        <v>298</v>
      </c>
      <c r="C3" s="5" t="s">
        <v>307</v>
      </c>
      <c r="D3" s="70" t="s">
        <v>219</v>
      </c>
      <c r="E3" s="3" t="s">
        <v>220</v>
      </c>
      <c r="F3" s="71">
        <f>GETPIVOTDATA("Maksumus",'Pivot Koond'!$A$3,"Piirkond","Rannamõisa","Projekt","Allika PK")</f>
        <v>61050</v>
      </c>
      <c r="G3" s="72">
        <f>ROUND(F3*5%,0)</f>
        <v>3053</v>
      </c>
      <c r="H3" s="72">
        <f>G3</f>
        <v>3053</v>
      </c>
      <c r="I3" s="72">
        <f t="shared" si="0"/>
        <v>67156</v>
      </c>
      <c r="J3" s="72">
        <f>ROUND(I3*5%,0)</f>
        <v>3358</v>
      </c>
      <c r="K3" s="72">
        <f t="shared" si="1"/>
        <v>70514</v>
      </c>
    </row>
    <row r="4" spans="1:11" ht="25.5">
      <c r="A4" s="61">
        <v>3</v>
      </c>
      <c r="B4" s="3" t="s">
        <v>152</v>
      </c>
      <c r="C4" s="5" t="s">
        <v>307</v>
      </c>
      <c r="D4" s="3" t="s">
        <v>129</v>
      </c>
      <c r="E4" s="73" t="s">
        <v>201</v>
      </c>
      <c r="F4" s="75">
        <f>GETPIVOTDATA("Maksumus",'Pivot Koond'!$A$3,"Piirkond","Tabasalu","Projekt","Nooruse")</f>
        <v>490025</v>
      </c>
      <c r="G4" s="72"/>
      <c r="H4" s="72"/>
      <c r="I4" s="72">
        <f t="shared" si="0"/>
        <v>490025</v>
      </c>
      <c r="J4" s="72">
        <v>7500</v>
      </c>
      <c r="K4" s="72">
        <f t="shared" si="1"/>
        <v>497525</v>
      </c>
    </row>
    <row r="5" spans="1:11" ht="25.5">
      <c r="A5" s="61">
        <v>4</v>
      </c>
      <c r="B5" s="3" t="s">
        <v>137</v>
      </c>
      <c r="C5" s="5" t="s">
        <v>307</v>
      </c>
      <c r="D5" s="3" t="s">
        <v>129</v>
      </c>
      <c r="E5" s="73" t="s">
        <v>202</v>
      </c>
      <c r="F5" s="75">
        <f>GETPIVOTDATA("Maksumus",'Pivot Koond'!$A$3,"Piirkond","Tabasalu","Projekt","Tabasalu-Tallinn")</f>
        <v>713240</v>
      </c>
      <c r="G5" s="72">
        <f aca="true" t="shared" si="2" ref="G5:G31">ROUND(F5*5%,0)</f>
        <v>35662</v>
      </c>
      <c r="H5" s="72">
        <f aca="true" t="shared" si="3" ref="H5:H31">G5</f>
        <v>35662</v>
      </c>
      <c r="I5" s="72">
        <f t="shared" si="0"/>
        <v>784564</v>
      </c>
      <c r="J5" s="72">
        <f aca="true" t="shared" si="4" ref="J5:J31">ROUND(I5*5%,0)</f>
        <v>39228</v>
      </c>
      <c r="K5" s="72">
        <f t="shared" si="1"/>
        <v>823792</v>
      </c>
    </row>
    <row r="6" spans="1:11" ht="25.5">
      <c r="A6" s="61">
        <v>5</v>
      </c>
      <c r="B6" s="3" t="s">
        <v>133</v>
      </c>
      <c r="C6" s="5" t="s">
        <v>307</v>
      </c>
      <c r="D6" s="3" t="s">
        <v>129</v>
      </c>
      <c r="E6" s="73" t="s">
        <v>185</v>
      </c>
      <c r="F6" s="75">
        <f>GETPIVOTDATA("Maksumus",'Pivot Koond'!$A$3,"Piirkond","Tabasalu","Projekt","RP-Mere")</f>
        <v>157500</v>
      </c>
      <c r="G6" s="72">
        <f t="shared" si="2"/>
        <v>7875</v>
      </c>
      <c r="H6" s="72">
        <f t="shared" si="3"/>
        <v>7875</v>
      </c>
      <c r="I6" s="72">
        <f t="shared" si="0"/>
        <v>173250</v>
      </c>
      <c r="J6" s="72">
        <f t="shared" si="4"/>
        <v>8663</v>
      </c>
      <c r="K6" s="72">
        <f t="shared" si="1"/>
        <v>181913</v>
      </c>
    </row>
    <row r="7" spans="1:11" ht="25.5">
      <c r="A7" s="61">
        <v>6</v>
      </c>
      <c r="B7" s="3" t="s">
        <v>195</v>
      </c>
      <c r="C7" s="5" t="s">
        <v>308</v>
      </c>
      <c r="D7" s="3" t="s">
        <v>129</v>
      </c>
      <c r="E7" s="73" t="s">
        <v>196</v>
      </c>
      <c r="F7" s="74">
        <f>GETPIVOTDATA("Maksumus",'Pivot Koond'!$A$3,"Piirkond","Tabasalu","Projekt","Sarapuu-Saare")</f>
        <v>65900</v>
      </c>
      <c r="G7" s="72">
        <f t="shared" si="2"/>
        <v>3295</v>
      </c>
      <c r="H7" s="72">
        <f t="shared" si="3"/>
        <v>3295</v>
      </c>
      <c r="I7" s="72">
        <f t="shared" si="0"/>
        <v>72490</v>
      </c>
      <c r="J7" s="72">
        <f t="shared" si="4"/>
        <v>3625</v>
      </c>
      <c r="K7" s="72">
        <f t="shared" si="1"/>
        <v>76115</v>
      </c>
    </row>
    <row r="8" spans="1:11" ht="25.5">
      <c r="A8" s="61">
        <v>7</v>
      </c>
      <c r="B8" s="3" t="s">
        <v>158</v>
      </c>
      <c r="C8" s="5" t="s">
        <v>308</v>
      </c>
      <c r="D8" s="3" t="s">
        <v>129</v>
      </c>
      <c r="E8" s="73" t="s">
        <v>180</v>
      </c>
      <c r="F8" s="74">
        <f>GETPIVOTDATA("Maksumus",'Pivot Koond'!$A$3,"Piirkond","Tabasalu","Projekt","Lucca")</f>
        <v>54000</v>
      </c>
      <c r="G8" s="72">
        <f t="shared" si="2"/>
        <v>2700</v>
      </c>
      <c r="H8" s="72">
        <f t="shared" si="3"/>
        <v>2700</v>
      </c>
      <c r="I8" s="72">
        <f t="shared" si="0"/>
        <v>59400</v>
      </c>
      <c r="J8" s="72">
        <f t="shared" si="4"/>
        <v>2970</v>
      </c>
      <c r="K8" s="72">
        <f t="shared" si="1"/>
        <v>62370</v>
      </c>
    </row>
    <row r="9" spans="1:11" ht="51">
      <c r="A9" s="61">
        <v>8</v>
      </c>
      <c r="B9" s="3" t="s">
        <v>181</v>
      </c>
      <c r="C9" s="5" t="s">
        <v>307</v>
      </c>
      <c r="D9" s="3" t="s">
        <v>129</v>
      </c>
      <c r="E9" s="73" t="s">
        <v>206</v>
      </c>
      <c r="F9" s="75">
        <f>GETPIVOTDATA("Maksumus",'Pivot Koond'!$A$3,"Piirkond","Tabasalu","Projekt","Pällo")</f>
        <v>75100</v>
      </c>
      <c r="G9" s="72">
        <f t="shared" si="2"/>
        <v>3755</v>
      </c>
      <c r="H9" s="72">
        <f t="shared" si="3"/>
        <v>3755</v>
      </c>
      <c r="I9" s="72">
        <f t="shared" si="0"/>
        <v>82610</v>
      </c>
      <c r="J9" s="72">
        <f t="shared" si="4"/>
        <v>4131</v>
      </c>
      <c r="K9" s="72">
        <f t="shared" si="1"/>
        <v>86741</v>
      </c>
    </row>
    <row r="10" spans="1:11" ht="38.25">
      <c r="A10" s="61">
        <v>9</v>
      </c>
      <c r="B10" s="3" t="s">
        <v>162</v>
      </c>
      <c r="C10" s="5" t="s">
        <v>307</v>
      </c>
      <c r="D10" s="3" t="s">
        <v>83</v>
      </c>
      <c r="E10" s="73" t="s">
        <v>186</v>
      </c>
      <c r="F10" s="75">
        <f>GETPIVOTDATA("Maksumus",'Pivot Koond'!$A$3,"Piirkond","Harku","Projekt","VTJ-Harku")</f>
        <v>373000</v>
      </c>
      <c r="G10" s="72">
        <f t="shared" si="2"/>
        <v>18650</v>
      </c>
      <c r="H10" s="72">
        <f t="shared" si="3"/>
        <v>18650</v>
      </c>
      <c r="I10" s="72">
        <f t="shared" si="0"/>
        <v>410300</v>
      </c>
      <c r="J10" s="72">
        <f t="shared" si="4"/>
        <v>20515</v>
      </c>
      <c r="K10" s="72">
        <f t="shared" si="1"/>
        <v>430815</v>
      </c>
    </row>
    <row r="11" spans="1:11" ht="25.5">
      <c r="A11" s="61">
        <v>10</v>
      </c>
      <c r="B11" s="3" t="s">
        <v>198</v>
      </c>
      <c r="C11" s="5" t="s">
        <v>307</v>
      </c>
      <c r="D11" s="3" t="s">
        <v>83</v>
      </c>
      <c r="E11" s="73" t="s">
        <v>232</v>
      </c>
      <c r="F11" s="75">
        <f>GETPIVOTDATA("Maksumus",'Pivot Koond'!$A$3,"Piirkond","Harku","Projekt","Lääne pool")</f>
        <v>487750</v>
      </c>
      <c r="G11" s="72">
        <f t="shared" si="2"/>
        <v>24388</v>
      </c>
      <c r="H11" s="72">
        <f t="shared" si="3"/>
        <v>24388</v>
      </c>
      <c r="I11" s="72">
        <f t="shared" si="0"/>
        <v>536526</v>
      </c>
      <c r="J11" s="72">
        <f t="shared" si="4"/>
        <v>26826</v>
      </c>
      <c r="K11" s="72">
        <f t="shared" si="1"/>
        <v>563352</v>
      </c>
    </row>
    <row r="12" spans="1:11" ht="38.25">
      <c r="A12" s="61">
        <v>11</v>
      </c>
      <c r="B12" s="3" t="s">
        <v>200</v>
      </c>
      <c r="C12" s="5" t="s">
        <v>308</v>
      </c>
      <c r="D12" s="3" t="s">
        <v>83</v>
      </c>
      <c r="E12" s="73" t="s">
        <v>233</v>
      </c>
      <c r="F12" s="75">
        <f>GETPIVOTDATA("Maksumus",'Pivot Koond'!$A$3,"Piirkond","Harku","Projekt","Ida pool")</f>
        <v>190800</v>
      </c>
      <c r="G12" s="72">
        <f t="shared" si="2"/>
        <v>9540</v>
      </c>
      <c r="H12" s="72">
        <f t="shared" si="3"/>
        <v>9540</v>
      </c>
      <c r="I12" s="72">
        <f t="shared" si="0"/>
        <v>209880</v>
      </c>
      <c r="J12" s="72">
        <f t="shared" si="4"/>
        <v>10494</v>
      </c>
      <c r="K12" s="72">
        <f t="shared" si="1"/>
        <v>220374</v>
      </c>
    </row>
    <row r="13" spans="1:11" ht="38.25">
      <c r="A13" s="61">
        <v>12</v>
      </c>
      <c r="B13" s="3" t="s">
        <v>86</v>
      </c>
      <c r="C13" s="5" t="s">
        <v>307</v>
      </c>
      <c r="D13" s="3" t="s">
        <v>83</v>
      </c>
      <c r="E13" s="73" t="s">
        <v>234</v>
      </c>
      <c r="F13" s="75">
        <f>GETPIVOTDATA("Maksumus",'Pivot Koond'!$A$3,"Piirkond","Harku","Projekt","Instituudi tee")</f>
        <v>584500</v>
      </c>
      <c r="G13" s="72">
        <f t="shared" si="2"/>
        <v>29225</v>
      </c>
      <c r="H13" s="72">
        <f t="shared" si="3"/>
        <v>29225</v>
      </c>
      <c r="I13" s="72">
        <f t="shared" si="0"/>
        <v>642950</v>
      </c>
      <c r="J13" s="72">
        <f t="shared" si="4"/>
        <v>32148</v>
      </c>
      <c r="K13" s="72">
        <f t="shared" si="1"/>
        <v>675098</v>
      </c>
    </row>
    <row r="14" spans="1:11" ht="12.75">
      <c r="A14" s="61">
        <v>13</v>
      </c>
      <c r="B14" s="3" t="s">
        <v>226</v>
      </c>
      <c r="C14" s="5" t="s">
        <v>308</v>
      </c>
      <c r="D14" s="3" t="s">
        <v>231</v>
      </c>
      <c r="E14" s="73" t="s">
        <v>315</v>
      </c>
      <c r="F14" s="75">
        <f>GETPIVOTDATA("Maksumus",'Pivot Koond'!$A$3,"Piirkond","Harkujärve","Projekt","Veduri PK")</f>
        <v>30000</v>
      </c>
      <c r="G14" s="72">
        <f t="shared" si="2"/>
        <v>1500</v>
      </c>
      <c r="H14" s="72">
        <f t="shared" si="3"/>
        <v>1500</v>
      </c>
      <c r="I14" s="72">
        <f t="shared" si="0"/>
        <v>33000</v>
      </c>
      <c r="J14" s="72">
        <f t="shared" si="4"/>
        <v>1650</v>
      </c>
      <c r="K14" s="72">
        <f t="shared" si="1"/>
        <v>34650</v>
      </c>
    </row>
    <row r="15" spans="1:11" ht="25.5">
      <c r="A15" s="61">
        <v>14</v>
      </c>
      <c r="B15" s="3" t="s">
        <v>159</v>
      </c>
      <c r="C15" s="5" t="s">
        <v>307</v>
      </c>
      <c r="D15" s="3" t="s">
        <v>231</v>
      </c>
      <c r="E15" s="73" t="s">
        <v>203</v>
      </c>
      <c r="F15" s="75">
        <f>GETPIVOTDATA("Maksumus",'Pivot Koond'!$A$3,"Piirkond","Tiskre","Projekt","VTJ-Järvekalda")</f>
        <v>288200</v>
      </c>
      <c r="G15" s="72">
        <f t="shared" si="2"/>
        <v>14410</v>
      </c>
      <c r="H15" s="72">
        <f t="shared" si="3"/>
        <v>14410</v>
      </c>
      <c r="I15" s="72">
        <f t="shared" si="0"/>
        <v>317020</v>
      </c>
      <c r="J15" s="72">
        <f t="shared" si="4"/>
        <v>15851</v>
      </c>
      <c r="K15" s="72">
        <f t="shared" si="1"/>
        <v>332871</v>
      </c>
    </row>
    <row r="16" spans="1:11" ht="38.25">
      <c r="A16" s="61">
        <v>15</v>
      </c>
      <c r="B16" s="3" t="s">
        <v>204</v>
      </c>
      <c r="C16" s="5" t="s">
        <v>307</v>
      </c>
      <c r="D16" s="3" t="s">
        <v>231</v>
      </c>
      <c r="E16" s="73" t="s">
        <v>205</v>
      </c>
      <c r="F16" s="75">
        <f>GETPIVOTDATA("Maksumus",'Pivot Koond'!$A$3,"Piirkond","Tiskre","Projekt","VTJ-Järvekalda-torud")</f>
        <v>96000</v>
      </c>
      <c r="G16" s="72">
        <f t="shared" si="2"/>
        <v>4800</v>
      </c>
      <c r="H16" s="72">
        <f t="shared" si="3"/>
        <v>4800</v>
      </c>
      <c r="I16" s="72">
        <f t="shared" si="0"/>
        <v>105600</v>
      </c>
      <c r="J16" s="72">
        <f t="shared" si="4"/>
        <v>5280</v>
      </c>
      <c r="K16" s="72">
        <f t="shared" si="1"/>
        <v>110880</v>
      </c>
    </row>
    <row r="17" spans="1:11" ht="25.5">
      <c r="A17" s="61">
        <v>16</v>
      </c>
      <c r="B17" s="3" t="s">
        <v>167</v>
      </c>
      <c r="C17" s="5" t="s">
        <v>307</v>
      </c>
      <c r="D17" s="3" t="s">
        <v>102</v>
      </c>
      <c r="E17" s="73" t="s">
        <v>168</v>
      </c>
      <c r="F17" s="75">
        <f>GETPIVOTDATA("Maksumus",'Pivot Koond'!$A$3,"Piirkond","Tiskre","Projekt","VTJ-Pillado")</f>
        <v>288200</v>
      </c>
      <c r="G17" s="72">
        <f t="shared" si="2"/>
        <v>14410</v>
      </c>
      <c r="H17" s="72">
        <f t="shared" si="3"/>
        <v>14410</v>
      </c>
      <c r="I17" s="72">
        <f t="shared" si="0"/>
        <v>317020</v>
      </c>
      <c r="J17" s="72">
        <f t="shared" si="4"/>
        <v>15851</v>
      </c>
      <c r="K17" s="72">
        <f t="shared" si="1"/>
        <v>332871</v>
      </c>
    </row>
    <row r="18" spans="1:11" ht="25.5">
      <c r="A18" s="61">
        <v>17</v>
      </c>
      <c r="B18" s="3" t="s">
        <v>104</v>
      </c>
      <c r="C18" s="5" t="s">
        <v>308</v>
      </c>
      <c r="D18" s="3" t="s">
        <v>231</v>
      </c>
      <c r="E18" s="73" t="s">
        <v>235</v>
      </c>
      <c r="F18" s="75">
        <f>GETPIVOTDATA("Maksumus",'Pivot Koond'!$A$3,"Piirkond","Tiskre","Projekt","Hobuseraua")</f>
        <v>230500</v>
      </c>
      <c r="G18" s="72">
        <f t="shared" si="2"/>
        <v>11525</v>
      </c>
      <c r="H18" s="72">
        <f t="shared" si="3"/>
        <v>11525</v>
      </c>
      <c r="I18" s="72">
        <f t="shared" si="0"/>
        <v>253550</v>
      </c>
      <c r="J18" s="72">
        <f t="shared" si="4"/>
        <v>12678</v>
      </c>
      <c r="K18" s="72">
        <f t="shared" si="1"/>
        <v>266228</v>
      </c>
    </row>
    <row r="19" spans="1:11" ht="38.25">
      <c r="A19" s="61">
        <v>18</v>
      </c>
      <c r="B19" s="3" t="s">
        <v>103</v>
      </c>
      <c r="C19" s="5" t="s">
        <v>307</v>
      </c>
      <c r="D19" s="3" t="s">
        <v>231</v>
      </c>
      <c r="E19" s="73" t="s">
        <v>236</v>
      </c>
      <c r="F19" s="75">
        <f>GETPIVOTDATA("Maksumus",'Pivot Koond'!$A$3,"Piirkond","Tiskre","Projekt","Järvekalda")</f>
        <v>287950</v>
      </c>
      <c r="G19" s="72">
        <f t="shared" si="2"/>
        <v>14398</v>
      </c>
      <c r="H19" s="72">
        <f t="shared" si="3"/>
        <v>14398</v>
      </c>
      <c r="I19" s="72">
        <f t="shared" si="0"/>
        <v>316746</v>
      </c>
      <c r="J19" s="72">
        <f t="shared" si="4"/>
        <v>15837</v>
      </c>
      <c r="K19" s="72">
        <f t="shared" si="1"/>
        <v>332583</v>
      </c>
    </row>
    <row r="20" spans="1:11" ht="38.25">
      <c r="A20" s="61">
        <v>19</v>
      </c>
      <c r="B20" s="3" t="s">
        <v>105</v>
      </c>
      <c r="C20" s="5" t="s">
        <v>308</v>
      </c>
      <c r="D20" s="3" t="s">
        <v>102</v>
      </c>
      <c r="E20" s="73" t="s">
        <v>175</v>
      </c>
      <c r="F20" s="75">
        <f>GETPIVOTDATA("Maksumus",'Pivot Koond'!$A$3,"Piirkond","Tiskre","Projekt","Tammiaugu")</f>
        <v>181700</v>
      </c>
      <c r="G20" s="72">
        <f t="shared" si="2"/>
        <v>9085</v>
      </c>
      <c r="H20" s="72">
        <f t="shared" si="3"/>
        <v>9085</v>
      </c>
      <c r="I20" s="72">
        <f t="shared" si="0"/>
        <v>199870</v>
      </c>
      <c r="J20" s="72">
        <f t="shared" si="4"/>
        <v>9994</v>
      </c>
      <c r="K20" s="72">
        <f t="shared" si="1"/>
        <v>209864</v>
      </c>
    </row>
    <row r="21" spans="1:11" ht="25.5">
      <c r="A21" s="61">
        <v>20</v>
      </c>
      <c r="B21" s="3" t="s">
        <v>176</v>
      </c>
      <c r="C21" s="5" t="s">
        <v>307</v>
      </c>
      <c r="D21" s="3" t="s">
        <v>171</v>
      </c>
      <c r="E21" s="73" t="s">
        <v>207</v>
      </c>
      <c r="F21" s="75">
        <f>GETPIVOTDATA("Maksumus",'Pivot Koond'!$A$3,"Piirkond","Kumna-Tut.","Projekt","Tutermaa")</f>
        <v>297100</v>
      </c>
      <c r="G21" s="72">
        <f t="shared" si="2"/>
        <v>14855</v>
      </c>
      <c r="H21" s="72">
        <f t="shared" si="3"/>
        <v>14855</v>
      </c>
      <c r="I21" s="72">
        <f t="shared" si="0"/>
        <v>326810</v>
      </c>
      <c r="J21" s="72">
        <f t="shared" si="4"/>
        <v>16341</v>
      </c>
      <c r="K21" s="72">
        <f t="shared" si="1"/>
        <v>343151</v>
      </c>
    </row>
    <row r="22" spans="1:11" ht="38.25">
      <c r="A22" s="61">
        <v>21</v>
      </c>
      <c r="B22" s="3" t="s">
        <v>124</v>
      </c>
      <c r="C22" s="76" t="s">
        <v>308</v>
      </c>
      <c r="D22" s="3" t="s">
        <v>171</v>
      </c>
      <c r="E22" s="77" t="s">
        <v>177</v>
      </c>
      <c r="F22" s="74">
        <f>GETPIVOTDATA("Maksumus",'Pivot Koond'!$A$3,"Piirkond","Kumna-Tut.","Projekt","Alajaama tee")</f>
        <v>269300</v>
      </c>
      <c r="G22" s="72">
        <f t="shared" si="2"/>
        <v>13465</v>
      </c>
      <c r="H22" s="72">
        <f t="shared" si="3"/>
        <v>13465</v>
      </c>
      <c r="I22" s="72">
        <f t="shared" si="0"/>
        <v>296230</v>
      </c>
      <c r="J22" s="72">
        <f t="shared" si="4"/>
        <v>14812</v>
      </c>
      <c r="K22" s="72">
        <f t="shared" si="1"/>
        <v>311042</v>
      </c>
    </row>
    <row r="23" spans="1:11" ht="12.75">
      <c r="A23" s="61">
        <v>22</v>
      </c>
      <c r="B23" s="3" t="s">
        <v>227</v>
      </c>
      <c r="C23" s="76" t="s">
        <v>308</v>
      </c>
      <c r="D23" s="3" t="s">
        <v>227</v>
      </c>
      <c r="E23" s="73" t="s">
        <v>228</v>
      </c>
      <c r="F23" s="74">
        <f>GETPIVOTDATA("Maksumus",'Pivot Koond'!$A$3,"Piirkond","Naage","Projekt","Naage VTJ")</f>
        <v>259500</v>
      </c>
      <c r="G23" s="72">
        <f t="shared" si="2"/>
        <v>12975</v>
      </c>
      <c r="H23" s="72">
        <f t="shared" si="3"/>
        <v>12975</v>
      </c>
      <c r="I23" s="72">
        <f t="shared" si="0"/>
        <v>285450</v>
      </c>
      <c r="J23" s="72">
        <f t="shared" si="4"/>
        <v>14273</v>
      </c>
      <c r="K23" s="72">
        <f t="shared" si="1"/>
        <v>299723</v>
      </c>
    </row>
    <row r="24" spans="1:11" ht="12.75">
      <c r="A24" s="61">
        <v>23</v>
      </c>
      <c r="B24" s="3" t="s">
        <v>227</v>
      </c>
      <c r="C24" s="76" t="s">
        <v>308</v>
      </c>
      <c r="D24" s="3" t="s">
        <v>227</v>
      </c>
      <c r="E24" s="73" t="s">
        <v>229</v>
      </c>
      <c r="F24" s="74">
        <f>GETPIVOTDATA("Maksumus",'Pivot Koond'!$A$3,"Piirkond","Naage","Projekt","Naage veetorustikud")</f>
        <v>965100</v>
      </c>
      <c r="G24" s="72">
        <f t="shared" si="2"/>
        <v>48255</v>
      </c>
      <c r="H24" s="72">
        <f t="shared" si="3"/>
        <v>48255</v>
      </c>
      <c r="I24" s="72">
        <f t="shared" si="0"/>
        <v>1061610</v>
      </c>
      <c r="J24" s="72">
        <f t="shared" si="4"/>
        <v>53081</v>
      </c>
      <c r="K24" s="72">
        <f t="shared" si="1"/>
        <v>1114691</v>
      </c>
    </row>
    <row r="25" spans="1:11" ht="25.5">
      <c r="A25" s="61">
        <v>24</v>
      </c>
      <c r="B25" s="3" t="s">
        <v>227</v>
      </c>
      <c r="C25" s="76" t="s">
        <v>308</v>
      </c>
      <c r="D25" s="3" t="s">
        <v>227</v>
      </c>
      <c r="E25" s="73" t="s">
        <v>230</v>
      </c>
      <c r="F25" s="74">
        <f>GETPIVOTDATA("Maksumus",'Pivot Koond'!$A$3,"Piirkond","Naage","Projekt","Naage kanalisatsioon")</f>
        <v>1603100</v>
      </c>
      <c r="G25" s="72">
        <f t="shared" si="2"/>
        <v>80155</v>
      </c>
      <c r="H25" s="72">
        <f t="shared" si="3"/>
        <v>80155</v>
      </c>
      <c r="I25" s="72">
        <f t="shared" si="0"/>
        <v>1763410</v>
      </c>
      <c r="J25" s="72">
        <f t="shared" si="4"/>
        <v>88171</v>
      </c>
      <c r="K25" s="72">
        <f t="shared" si="1"/>
        <v>1851581</v>
      </c>
    </row>
    <row r="26" spans="1:11" ht="12.75">
      <c r="A26" s="61">
        <v>25</v>
      </c>
      <c r="B26" s="3" t="s">
        <v>96</v>
      </c>
      <c r="C26" s="76" t="s">
        <v>308</v>
      </c>
      <c r="D26" s="3" t="s">
        <v>101</v>
      </c>
      <c r="E26" s="73" t="s">
        <v>237</v>
      </c>
      <c r="F26" s="74">
        <f>GETPIVOTDATA("Maksumus",'Pivot Koond'!$A$3,"Piirkond","Vääna","Projekt","Olemasolev")</f>
        <v>66000</v>
      </c>
      <c r="G26" s="72">
        <f t="shared" si="2"/>
        <v>3300</v>
      </c>
      <c r="H26" s="72">
        <f t="shared" si="3"/>
        <v>3300</v>
      </c>
      <c r="I26" s="72">
        <f t="shared" si="0"/>
        <v>72600</v>
      </c>
      <c r="J26" s="72">
        <f t="shared" si="4"/>
        <v>3630</v>
      </c>
      <c r="K26" s="72">
        <f t="shared" si="1"/>
        <v>76230</v>
      </c>
    </row>
    <row r="27" spans="1:11" ht="12.75">
      <c r="A27" s="61">
        <v>26</v>
      </c>
      <c r="B27" s="3" t="s">
        <v>178</v>
      </c>
      <c r="C27" s="5" t="s">
        <v>307</v>
      </c>
      <c r="D27" s="3" t="s">
        <v>101</v>
      </c>
      <c r="E27" s="73" t="s">
        <v>208</v>
      </c>
      <c r="F27" s="75">
        <f>GETPIVOTDATA("Maksumus",'Pivot Koond'!$A$3,"Piirkond","Vääna","Projekt","RVP-Vääna")</f>
        <v>20000</v>
      </c>
      <c r="G27" s="72">
        <f t="shared" si="2"/>
        <v>1000</v>
      </c>
      <c r="H27" s="72">
        <f t="shared" si="3"/>
        <v>1000</v>
      </c>
      <c r="I27" s="72">
        <f t="shared" si="0"/>
        <v>22000</v>
      </c>
      <c r="J27" s="72">
        <f t="shared" si="4"/>
        <v>1100</v>
      </c>
      <c r="K27" s="72">
        <f t="shared" si="1"/>
        <v>23100</v>
      </c>
    </row>
    <row r="28" spans="1:11" ht="25.5">
      <c r="A28" s="61">
        <v>27</v>
      </c>
      <c r="B28" s="3" t="s">
        <v>170</v>
      </c>
      <c r="C28" s="76" t="s">
        <v>308</v>
      </c>
      <c r="D28" s="3" t="s">
        <v>174</v>
      </c>
      <c r="E28" s="73" t="s">
        <v>187</v>
      </c>
      <c r="F28" s="74">
        <f>GETPIVOTDATA("Maksumus",'Pivot Koond'!$A$3,"Piirkond","Vahi","Projekt","RVP-Veskivahi")</f>
        <v>150000</v>
      </c>
      <c r="G28" s="72">
        <f t="shared" si="2"/>
        <v>7500</v>
      </c>
      <c r="H28" s="72">
        <f t="shared" si="3"/>
        <v>7500</v>
      </c>
      <c r="I28" s="72">
        <f t="shared" si="0"/>
        <v>165000</v>
      </c>
      <c r="J28" s="72">
        <f t="shared" si="4"/>
        <v>8250</v>
      </c>
      <c r="K28" s="72">
        <f t="shared" si="1"/>
        <v>173250</v>
      </c>
    </row>
    <row r="29" spans="1:11" ht="12.75">
      <c r="A29" s="61">
        <v>28</v>
      </c>
      <c r="B29" s="3" t="s">
        <v>163</v>
      </c>
      <c r="C29" s="5" t="s">
        <v>307</v>
      </c>
      <c r="D29" s="3" t="s">
        <v>164</v>
      </c>
      <c r="E29" s="73" t="s">
        <v>319</v>
      </c>
      <c r="F29" s="75">
        <f>GETPIVOTDATA("Maksumus",'Pivot Koond'!$A$3,"Piirkond","Sõrve tee","Projekt","RVP-Merihobu")</f>
        <v>190000</v>
      </c>
      <c r="G29" s="72">
        <f t="shared" si="2"/>
        <v>9500</v>
      </c>
      <c r="H29" s="72">
        <f t="shared" si="3"/>
        <v>9500</v>
      </c>
      <c r="I29" s="72">
        <f t="shared" si="0"/>
        <v>209000</v>
      </c>
      <c r="J29" s="72">
        <f t="shared" si="4"/>
        <v>10450</v>
      </c>
      <c r="K29" s="72">
        <f t="shared" si="1"/>
        <v>219450</v>
      </c>
    </row>
    <row r="30" spans="1:11" ht="25.5">
      <c r="A30" s="61">
        <v>29</v>
      </c>
      <c r="B30" s="3" t="s">
        <v>304</v>
      </c>
      <c r="C30" s="76" t="s">
        <v>308</v>
      </c>
      <c r="D30" s="3" t="s">
        <v>164</v>
      </c>
      <c r="E30" s="73" t="s">
        <v>238</v>
      </c>
      <c r="F30" s="74">
        <f>GETPIVOTDATA("Maksumus",'Pivot Koond'!$A$3,"Piirkond","Sõrve tee","Projekt","RVP-Otsa-Mikko-Alt.2")</f>
        <v>213000</v>
      </c>
      <c r="G30" s="72">
        <f t="shared" si="2"/>
        <v>10650</v>
      </c>
      <c r="H30" s="72">
        <f t="shared" si="3"/>
        <v>10650</v>
      </c>
      <c r="I30" s="72">
        <f t="shared" si="0"/>
        <v>234300</v>
      </c>
      <c r="J30" s="72">
        <f t="shared" si="4"/>
        <v>11715</v>
      </c>
      <c r="K30" s="72">
        <f t="shared" si="1"/>
        <v>246015</v>
      </c>
    </row>
    <row r="31" spans="1:11" ht="25.5">
      <c r="A31" s="61">
        <v>30</v>
      </c>
      <c r="B31" s="3" t="s">
        <v>165</v>
      </c>
      <c r="C31" s="5" t="s">
        <v>307</v>
      </c>
      <c r="D31" s="3" t="s">
        <v>164</v>
      </c>
      <c r="E31" s="73" t="s">
        <v>316</v>
      </c>
      <c r="F31" s="75">
        <f>GETPIVOTDATA("Maksumus",'Pivot Koond'!$A$3,"Piirkond","Sõrve tee","Projekt","RVP-Loopealse")</f>
        <v>102500</v>
      </c>
      <c r="G31" s="72">
        <f t="shared" si="2"/>
        <v>5125</v>
      </c>
      <c r="H31" s="72">
        <f t="shared" si="3"/>
        <v>5125</v>
      </c>
      <c r="I31" s="72">
        <f t="shared" si="0"/>
        <v>112750</v>
      </c>
      <c r="J31" s="72">
        <f t="shared" si="4"/>
        <v>5638</v>
      </c>
      <c r="K31" s="72">
        <f t="shared" si="1"/>
        <v>118388</v>
      </c>
    </row>
    <row r="32" spans="5:11" ht="12.75">
      <c r="E32" s="33" t="s">
        <v>218</v>
      </c>
      <c r="F32" s="34">
        <f aca="true" t="shared" si="5" ref="F32:K32">SUM(F2:F31)</f>
        <v>9041015</v>
      </c>
      <c r="G32" s="34">
        <f t="shared" si="5"/>
        <v>427551</v>
      </c>
      <c r="H32" s="34">
        <f t="shared" si="5"/>
        <v>427551</v>
      </c>
      <c r="I32" s="34">
        <f t="shared" si="5"/>
        <v>9896117</v>
      </c>
      <c r="J32" s="34">
        <f t="shared" si="5"/>
        <v>477810</v>
      </c>
      <c r="K32" s="34">
        <f t="shared" si="5"/>
        <v>10373927</v>
      </c>
    </row>
    <row r="33" spans="5:11" ht="12.75">
      <c r="E33" s="53" t="s">
        <v>312</v>
      </c>
      <c r="F33" s="34">
        <f aca="true" t="shared" si="6" ref="F33:K33">SUMIF($C$2:$C$31,"LA",F$2:F$31)</f>
        <v>4762115</v>
      </c>
      <c r="G33" s="34">
        <f t="shared" si="6"/>
        <v>213606</v>
      </c>
      <c r="H33" s="34">
        <f t="shared" si="6"/>
        <v>213606</v>
      </c>
      <c r="I33" s="34">
        <f t="shared" si="6"/>
        <v>5189327</v>
      </c>
      <c r="J33" s="34">
        <f t="shared" si="6"/>
        <v>242467</v>
      </c>
      <c r="K33" s="34">
        <f t="shared" si="6"/>
        <v>5431794</v>
      </c>
    </row>
    <row r="34" spans="5:11" ht="12.75">
      <c r="E34" s="53" t="s">
        <v>313</v>
      </c>
      <c r="F34" s="34">
        <f aca="true" t="shared" si="7" ref="F34:K34">SUMIF($C$2:$C$31,"PA",F$2:F$31)</f>
        <v>4278900</v>
      </c>
      <c r="G34" s="34">
        <f t="shared" si="7"/>
        <v>213945</v>
      </c>
      <c r="H34" s="34">
        <f t="shared" si="7"/>
        <v>213945</v>
      </c>
      <c r="I34" s="34">
        <f t="shared" si="7"/>
        <v>4706790</v>
      </c>
      <c r="J34" s="34">
        <f t="shared" si="7"/>
        <v>235343</v>
      </c>
      <c r="K34" s="34">
        <f t="shared" si="7"/>
        <v>4942133</v>
      </c>
    </row>
    <row r="37" ht="12.75">
      <c r="F37" s="59"/>
    </row>
    <row r="38" ht="12.75">
      <c r="F38" s="5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28125" style="126" bestFit="1" customWidth="1"/>
    <col min="2" max="2" width="81.7109375" style="126" customWidth="1"/>
    <col min="3" max="3" width="13.140625" style="126" customWidth="1"/>
    <col min="4" max="8" width="11.7109375" style="126" bestFit="1" customWidth="1"/>
    <col min="9" max="15" width="10.140625" style="126" bestFit="1" customWidth="1"/>
    <col min="16" max="16384" width="9.140625" style="126" customWidth="1"/>
  </cols>
  <sheetData>
    <row r="1" spans="2:15" ht="13.5" thickBot="1">
      <c r="B1" s="114"/>
      <c r="C1" s="115"/>
      <c r="D1" s="116" t="s">
        <v>216</v>
      </c>
      <c r="E1" s="117"/>
      <c r="F1" s="117"/>
      <c r="G1" s="118"/>
      <c r="H1" s="116" t="s">
        <v>217</v>
      </c>
      <c r="I1" s="117"/>
      <c r="J1" s="117"/>
      <c r="K1" s="117"/>
      <c r="L1" s="117"/>
      <c r="M1" s="117"/>
      <c r="N1" s="117"/>
      <c r="O1" s="118"/>
    </row>
    <row r="2" spans="1:15" ht="13.5" thickBot="1">
      <c r="A2" s="119" t="s">
        <v>0</v>
      </c>
      <c r="B2" s="119" t="s">
        <v>127</v>
      </c>
      <c r="C2" s="119" t="s">
        <v>30</v>
      </c>
      <c r="D2" s="120">
        <v>2021</v>
      </c>
      <c r="E2" s="121">
        <v>2022</v>
      </c>
      <c r="F2" s="120">
        <v>2023</v>
      </c>
      <c r="G2" s="121">
        <v>2024</v>
      </c>
      <c r="H2" s="120">
        <v>2025</v>
      </c>
      <c r="I2" s="121">
        <v>2026</v>
      </c>
      <c r="J2" s="120">
        <v>2027</v>
      </c>
      <c r="K2" s="121">
        <v>2028</v>
      </c>
      <c r="L2" s="120">
        <v>2029</v>
      </c>
      <c r="M2" s="121">
        <v>2030</v>
      </c>
      <c r="N2" s="120">
        <v>2031</v>
      </c>
      <c r="O2" s="121">
        <v>2032</v>
      </c>
    </row>
    <row r="3" spans="1:15" ht="25.5">
      <c r="A3" s="127" t="str">
        <f>Projektid!D2</f>
        <v>Tallinn</v>
      </c>
      <c r="B3" s="128" t="str">
        <f>Projektid!E2</f>
        <v>Tabasalu-Tiskre-Harkujärve piirkonna vee- ja reoveemõõdukaevude-siibrite rajamine AS Tallinna Vesi piiritluspunktidesse</v>
      </c>
      <c r="C3" s="129">
        <f>Projektid!K2</f>
        <v>288750</v>
      </c>
      <c r="D3" s="130">
        <f>C3</f>
        <v>288750</v>
      </c>
      <c r="E3" s="131"/>
      <c r="F3" s="131"/>
      <c r="G3" s="132"/>
      <c r="H3" s="130"/>
      <c r="I3" s="131"/>
      <c r="J3" s="131"/>
      <c r="K3" s="131"/>
      <c r="L3" s="131"/>
      <c r="M3" s="131"/>
      <c r="N3" s="131"/>
      <c r="O3" s="132"/>
    </row>
    <row r="4" spans="1:15" ht="12.75">
      <c r="A4" s="127" t="str">
        <f>Projektid!D3</f>
        <v>Rannamõisa</v>
      </c>
      <c r="B4" s="128" t="str">
        <f>Projektid!E3</f>
        <v>Allika veetöötlusjaama asenduspuurkaevu rajamine</v>
      </c>
      <c r="C4" s="129">
        <f>Projektid!K3</f>
        <v>70514</v>
      </c>
      <c r="D4" s="133">
        <f>C4</f>
        <v>70514</v>
      </c>
      <c r="E4" s="134"/>
      <c r="F4" s="134"/>
      <c r="G4" s="122"/>
      <c r="H4" s="133"/>
      <c r="I4" s="134"/>
      <c r="J4" s="134"/>
      <c r="K4" s="134"/>
      <c r="L4" s="134"/>
      <c r="M4" s="134"/>
      <c r="N4" s="134"/>
      <c r="O4" s="122"/>
    </row>
    <row r="5" spans="1:15" ht="12.75">
      <c r="A5" s="127" t="str">
        <f>Projektid!D4</f>
        <v>Tabasalu</v>
      </c>
      <c r="B5" s="128" t="str">
        <f>Projektid!E4</f>
        <v>Nooruse tn VK ja SK torude rekonstrueerimine ja rajamine (sh RP-Ranna 1 lammutamine)</v>
      </c>
      <c r="C5" s="129">
        <f>Projektid!K4</f>
        <v>497525</v>
      </c>
      <c r="D5" s="133">
        <f>C5</f>
        <v>497525</v>
      </c>
      <c r="E5" s="134"/>
      <c r="F5" s="134"/>
      <c r="G5" s="122"/>
      <c r="H5" s="133"/>
      <c r="I5" s="134"/>
      <c r="J5" s="134"/>
      <c r="K5" s="134"/>
      <c r="L5" s="134"/>
      <c r="M5" s="134"/>
      <c r="N5" s="134"/>
      <c r="O5" s="122"/>
    </row>
    <row r="6" spans="1:15" ht="12.75">
      <c r="A6" s="127" t="str">
        <f>Projektid!D5</f>
        <v>Tabasalu</v>
      </c>
      <c r="B6" s="128" t="str">
        <f>Projektid!E5</f>
        <v>Reoveepumpla RP-Ranna 2 survekollektori rekonstrueerimine</v>
      </c>
      <c r="C6" s="129">
        <f>Projektid!K5</f>
        <v>823792</v>
      </c>
      <c r="D6" s="133"/>
      <c r="E6" s="134">
        <f>C6/3</f>
        <v>274597.3333333333</v>
      </c>
      <c r="F6" s="134">
        <f>E6</f>
        <v>274597.3333333333</v>
      </c>
      <c r="G6" s="122">
        <f>F6</f>
        <v>274597.3333333333</v>
      </c>
      <c r="H6" s="133"/>
      <c r="I6" s="134"/>
      <c r="J6" s="134"/>
      <c r="K6" s="134"/>
      <c r="L6" s="134"/>
      <c r="M6" s="134"/>
      <c r="N6" s="134"/>
      <c r="O6" s="122"/>
    </row>
    <row r="7" spans="1:15" ht="12.75">
      <c r="A7" s="127" t="str">
        <f>Projektid!D6</f>
        <v>Tabasalu</v>
      </c>
      <c r="B7" s="128" t="str">
        <f>Projektid!E6</f>
        <v>RP-Mere survetorustiku 2X De125 pikendamine Nooruse tn-ni</v>
      </c>
      <c r="C7" s="129">
        <f>Projektid!K6</f>
        <v>181913</v>
      </c>
      <c r="D7" s="133"/>
      <c r="E7" s="134">
        <f>C7/2</f>
        <v>90956.5</v>
      </c>
      <c r="F7" s="134">
        <f>E7</f>
        <v>90956.5</v>
      </c>
      <c r="G7" s="122"/>
      <c r="H7" s="133"/>
      <c r="I7" s="134"/>
      <c r="J7" s="134"/>
      <c r="K7" s="134"/>
      <c r="L7" s="134"/>
      <c r="M7" s="134"/>
      <c r="N7" s="134"/>
      <c r="O7" s="122"/>
    </row>
    <row r="8" spans="1:15" ht="12.75">
      <c r="A8" s="127" t="str">
        <f>Projektid!D7</f>
        <v>Tabasalu</v>
      </c>
      <c r="B8" s="128" t="str">
        <f>Projektid!E7</f>
        <v>Olemasoleva veetorustiku rekonstrueerimine (Sarapuu-Pähkli, Saare tn)</v>
      </c>
      <c r="C8" s="129">
        <f>Projektid!K7</f>
        <v>76115</v>
      </c>
      <c r="D8" s="133"/>
      <c r="E8" s="134"/>
      <c r="F8" s="134"/>
      <c r="G8" s="122"/>
      <c r="H8" s="133">
        <f>C8/8</f>
        <v>9514.375</v>
      </c>
      <c r="I8" s="134">
        <f aca="true" t="shared" si="0" ref="I8:O9">H8</f>
        <v>9514.375</v>
      </c>
      <c r="J8" s="134">
        <f t="shared" si="0"/>
        <v>9514.375</v>
      </c>
      <c r="K8" s="134">
        <f t="shared" si="0"/>
        <v>9514.375</v>
      </c>
      <c r="L8" s="134">
        <f t="shared" si="0"/>
        <v>9514.375</v>
      </c>
      <c r="M8" s="134">
        <f t="shared" si="0"/>
        <v>9514.375</v>
      </c>
      <c r="N8" s="134">
        <f t="shared" si="0"/>
        <v>9514.375</v>
      </c>
      <c r="O8" s="122">
        <f t="shared" si="0"/>
        <v>9514.375</v>
      </c>
    </row>
    <row r="9" spans="1:15" ht="12.75">
      <c r="A9" s="127" t="str">
        <f>Projektid!D8</f>
        <v>Tabasalu</v>
      </c>
      <c r="B9" s="128" t="str">
        <f>Projektid!E8</f>
        <v>Lucca tänava piirkonna veetorustike ühendamine OÜ Strantumi veevärgiga</v>
      </c>
      <c r="C9" s="129">
        <f>Projektid!K8</f>
        <v>62370</v>
      </c>
      <c r="D9" s="133"/>
      <c r="E9" s="134"/>
      <c r="F9" s="134"/>
      <c r="G9" s="122"/>
      <c r="H9" s="133">
        <f>C9/8</f>
        <v>7796.25</v>
      </c>
      <c r="I9" s="134">
        <f t="shared" si="0"/>
        <v>7796.25</v>
      </c>
      <c r="J9" s="134">
        <f t="shared" si="0"/>
        <v>7796.25</v>
      </c>
      <c r="K9" s="134">
        <f t="shared" si="0"/>
        <v>7796.25</v>
      </c>
      <c r="L9" s="134">
        <f t="shared" si="0"/>
        <v>7796.25</v>
      </c>
      <c r="M9" s="134">
        <f t="shared" si="0"/>
        <v>7796.25</v>
      </c>
      <c r="N9" s="134">
        <f t="shared" si="0"/>
        <v>7796.25</v>
      </c>
      <c r="O9" s="122">
        <f t="shared" si="0"/>
        <v>7796.25</v>
      </c>
    </row>
    <row r="10" spans="1:15" ht="25.5">
      <c r="A10" s="127" t="str">
        <f>Projektid!D9</f>
        <v>Tabasalu</v>
      </c>
      <c r="B10" s="128" t="str">
        <f>Projektid!E9</f>
        <v>Pällo tänava elamutele ühiskanalisatsiooni laiendamine survekanalisatsiooni lahendusena ja veetorustiku rekonstrueerimine (sh ühendamine Strantumi võrguga)</v>
      </c>
      <c r="C10" s="129">
        <f>Projektid!K9</f>
        <v>86741</v>
      </c>
      <c r="D10" s="133"/>
      <c r="E10" s="134">
        <f>C10/2</f>
        <v>43370.5</v>
      </c>
      <c r="F10" s="134">
        <f>E10</f>
        <v>43370.5</v>
      </c>
      <c r="G10" s="122"/>
      <c r="H10" s="133"/>
      <c r="I10" s="134"/>
      <c r="J10" s="134"/>
      <c r="K10" s="134"/>
      <c r="L10" s="134"/>
      <c r="M10" s="134"/>
      <c r="N10" s="134"/>
      <c r="O10" s="122"/>
    </row>
    <row r="11" spans="1:15" ht="25.5">
      <c r="A11" s="127" t="str">
        <f>Projektid!D10</f>
        <v>Harku</v>
      </c>
      <c r="B11" s="128" t="str">
        <f>Projektid!E10</f>
        <v>Uue C-V puurkaevu, veetöötlusjaama 20m3/h, reservuaari 300m3 ja 2a pumpla rajamine (sh ühendamine olemasolevate peatorustikega)</v>
      </c>
      <c r="C11" s="129">
        <f>Projektid!K10</f>
        <v>430815</v>
      </c>
      <c r="D11" s="133">
        <f>C11/2</f>
        <v>215407.5</v>
      </c>
      <c r="E11" s="134">
        <f>D11</f>
        <v>215407.5</v>
      </c>
      <c r="F11" s="134"/>
      <c r="G11" s="122"/>
      <c r="H11" s="133"/>
      <c r="I11" s="134"/>
      <c r="J11" s="134"/>
      <c r="K11" s="134"/>
      <c r="L11" s="134"/>
      <c r="M11" s="134"/>
      <c r="N11" s="134"/>
      <c r="O11" s="122"/>
    </row>
    <row r="12" spans="1:15" ht="12.75">
      <c r="A12" s="127" t="str">
        <f>Projektid!D11</f>
        <v>Harku</v>
      </c>
      <c r="B12" s="128" t="str">
        <f>Projektid!E11</f>
        <v>Rukkilille tn, Põllu tn, Uus tn ÜVK rekonstrueerimine ja laiendamine</v>
      </c>
      <c r="C12" s="129">
        <f>Projektid!K11</f>
        <v>563352</v>
      </c>
      <c r="D12" s="133"/>
      <c r="E12" s="134"/>
      <c r="F12" s="134">
        <f>C12/2</f>
        <v>281676</v>
      </c>
      <c r="G12" s="122">
        <f>F12</f>
        <v>281676</v>
      </c>
      <c r="H12" s="133"/>
      <c r="I12" s="134"/>
      <c r="J12" s="134"/>
      <c r="K12" s="134"/>
      <c r="L12" s="134"/>
      <c r="M12" s="134"/>
      <c r="N12" s="134"/>
      <c r="O12" s="122"/>
    </row>
    <row r="13" spans="1:15" ht="25.5">
      <c r="A13" s="127" t="str">
        <f>Projektid!D12</f>
        <v>Harku</v>
      </c>
      <c r="B13" s="128" t="str">
        <f>Projektid!E12</f>
        <v>Metsa tee, Klubi tn, Pikk tn, Põhja tn ühisveevärgi ja kanalisatsiooni rekonstrueerimine ja laiendamine</v>
      </c>
      <c r="C13" s="129">
        <f>Projektid!K12</f>
        <v>220374</v>
      </c>
      <c r="D13" s="133"/>
      <c r="E13" s="134"/>
      <c r="F13" s="134"/>
      <c r="G13" s="122"/>
      <c r="H13" s="133">
        <f>C13/8</f>
        <v>27546.75</v>
      </c>
      <c r="I13" s="134">
        <f aca="true" t="shared" si="1" ref="I13:O13">H13</f>
        <v>27546.75</v>
      </c>
      <c r="J13" s="134">
        <f t="shared" si="1"/>
        <v>27546.75</v>
      </c>
      <c r="K13" s="134">
        <f t="shared" si="1"/>
        <v>27546.75</v>
      </c>
      <c r="L13" s="134">
        <f t="shared" si="1"/>
        <v>27546.75</v>
      </c>
      <c r="M13" s="134">
        <f t="shared" si="1"/>
        <v>27546.75</v>
      </c>
      <c r="N13" s="134">
        <f t="shared" si="1"/>
        <v>27546.75</v>
      </c>
      <c r="O13" s="122">
        <f t="shared" si="1"/>
        <v>27546.75</v>
      </c>
    </row>
    <row r="14" spans="1:15" ht="25.5">
      <c r="A14" s="127" t="str">
        <f>Projektid!D13</f>
        <v>Harku</v>
      </c>
      <c r="B14" s="128" t="str">
        <f>Projektid!E13</f>
        <v>Pargitaguse elamurajooni (Heina, Õle, Pae, Kalju jt tänavate elamud) ühendamine ühisveevärgi ja kanalisatsiooniga</v>
      </c>
      <c r="C14" s="129">
        <f>Projektid!K13</f>
        <v>675098</v>
      </c>
      <c r="D14" s="133"/>
      <c r="E14" s="134"/>
      <c r="F14" s="134">
        <f>C14/2</f>
        <v>337549</v>
      </c>
      <c r="G14" s="122">
        <f>F14</f>
        <v>337549</v>
      </c>
      <c r="H14" s="133"/>
      <c r="I14" s="134"/>
      <c r="J14" s="134"/>
      <c r="K14" s="134"/>
      <c r="L14" s="134"/>
      <c r="M14" s="134"/>
      <c r="N14" s="134"/>
      <c r="O14" s="122"/>
    </row>
    <row r="15" spans="1:15" ht="12.75">
      <c r="A15" s="127" t="str">
        <f>Projektid!D14</f>
        <v>Harkujärve</v>
      </c>
      <c r="B15" s="128" t="str">
        <f>Projektid!E14</f>
        <v>Veduri tee ja Veduri põik uue puurkaevu rajamine</v>
      </c>
      <c r="C15" s="129">
        <f>Projektid!K14</f>
        <v>34650</v>
      </c>
      <c r="D15" s="133"/>
      <c r="E15" s="134"/>
      <c r="F15" s="134"/>
      <c r="G15" s="122"/>
      <c r="H15" s="133">
        <f>C15/8</f>
        <v>4331.25</v>
      </c>
      <c r="I15" s="134">
        <f aca="true" t="shared" si="2" ref="I15:O15">H15</f>
        <v>4331.25</v>
      </c>
      <c r="J15" s="134">
        <f t="shared" si="2"/>
        <v>4331.25</v>
      </c>
      <c r="K15" s="134">
        <f t="shared" si="2"/>
        <v>4331.25</v>
      </c>
      <c r="L15" s="134">
        <f t="shared" si="2"/>
        <v>4331.25</v>
      </c>
      <c r="M15" s="134">
        <f t="shared" si="2"/>
        <v>4331.25</v>
      </c>
      <c r="N15" s="134">
        <f t="shared" si="2"/>
        <v>4331.25</v>
      </c>
      <c r="O15" s="122">
        <f t="shared" si="2"/>
        <v>4331.25</v>
      </c>
    </row>
    <row r="16" spans="1:15" ht="12.75">
      <c r="A16" s="127" t="str">
        <f>Projektid!D15</f>
        <v>Harkujärve</v>
      </c>
      <c r="B16" s="128" t="str">
        <f>Projektid!E15</f>
        <v>PK-Järvekalda asukohta veetöötlusjaama 20m3/h, reservuaari 300m3 ja 2a pumpla rajamine</v>
      </c>
      <c r="C16" s="129">
        <f>Projektid!K15</f>
        <v>332871</v>
      </c>
      <c r="D16" s="133">
        <f>C16/2</f>
        <v>166435.5</v>
      </c>
      <c r="E16" s="134">
        <f>D16</f>
        <v>166435.5</v>
      </c>
      <c r="F16" s="134"/>
      <c r="G16" s="122"/>
      <c r="H16" s="133"/>
      <c r="I16" s="134"/>
      <c r="J16" s="134"/>
      <c r="K16" s="134"/>
      <c r="L16" s="134"/>
      <c r="M16" s="134"/>
      <c r="N16" s="134"/>
      <c r="O16" s="122"/>
    </row>
    <row r="17" spans="1:15" ht="12.75">
      <c r="A17" s="127" t="str">
        <f>Projektid!D16</f>
        <v>Harkujärve</v>
      </c>
      <c r="B17" s="128" t="str">
        <f>Projektid!E16</f>
        <v>PK-Järvekalda ühendamine Kiriku tee magistraaltoruga (sh persp. VTJ survekanalisatsioon)</v>
      </c>
      <c r="C17" s="129">
        <f>Projektid!K16</f>
        <v>110880</v>
      </c>
      <c r="D17" s="133">
        <f>C17/2</f>
        <v>55440</v>
      </c>
      <c r="E17" s="134">
        <f>D17</f>
        <v>55440</v>
      </c>
      <c r="F17" s="134"/>
      <c r="G17" s="122"/>
      <c r="H17" s="133"/>
      <c r="I17" s="134"/>
      <c r="J17" s="134"/>
      <c r="K17" s="134"/>
      <c r="L17" s="134"/>
      <c r="M17" s="134"/>
      <c r="N17" s="134"/>
      <c r="O17" s="122"/>
    </row>
    <row r="18" spans="1:15" ht="12.75">
      <c r="A18" s="127" t="str">
        <f>Projektid!D17</f>
        <v>Tiskre</v>
      </c>
      <c r="B18" s="128" t="str">
        <f>Projektid!E17</f>
        <v>PK-Pillado asukohta veetöötlusjaama 20m3/h, reservuaari 300m3 ja 2a pumpla rajamine</v>
      </c>
      <c r="C18" s="129">
        <f>Projektid!K17</f>
        <v>332871</v>
      </c>
      <c r="D18" s="133">
        <f>C18/2</f>
        <v>166435.5</v>
      </c>
      <c r="E18" s="134">
        <f>D18</f>
        <v>166435.5</v>
      </c>
      <c r="F18" s="134"/>
      <c r="G18" s="122"/>
      <c r="H18" s="133"/>
      <c r="I18" s="134"/>
      <c r="J18" s="134"/>
      <c r="K18" s="134"/>
      <c r="L18" s="134"/>
      <c r="M18" s="134"/>
      <c r="N18" s="134"/>
      <c r="O18" s="122"/>
    </row>
    <row r="19" spans="1:15" ht="12.75">
      <c r="A19" s="127" t="str">
        <f>Projektid!D18</f>
        <v>Harkujärve</v>
      </c>
      <c r="B19" s="128" t="str">
        <f>Projektid!E18</f>
        <v>Hobuseraua ja J. Venteri tee piirkonna ühisveevärgi ja -kanalisatsiooni rekonstrueerimine</v>
      </c>
      <c r="C19" s="129">
        <f>Projektid!K18</f>
        <v>266228</v>
      </c>
      <c r="D19" s="133"/>
      <c r="E19" s="134"/>
      <c r="F19" s="134"/>
      <c r="G19" s="122"/>
      <c r="H19" s="133">
        <f>C19/8</f>
        <v>33278.5</v>
      </c>
      <c r="I19" s="134">
        <f aca="true" t="shared" si="3" ref="I19:O23">H19</f>
        <v>33278.5</v>
      </c>
      <c r="J19" s="134">
        <f t="shared" si="3"/>
        <v>33278.5</v>
      </c>
      <c r="K19" s="134">
        <f t="shared" si="3"/>
        <v>33278.5</v>
      </c>
      <c r="L19" s="134">
        <f t="shared" si="3"/>
        <v>33278.5</v>
      </c>
      <c r="M19" s="134">
        <f t="shared" si="3"/>
        <v>33278.5</v>
      </c>
      <c r="N19" s="134">
        <f t="shared" si="3"/>
        <v>33278.5</v>
      </c>
      <c r="O19" s="122">
        <f t="shared" si="3"/>
        <v>33278.5</v>
      </c>
    </row>
    <row r="20" spans="1:15" ht="25.5">
      <c r="A20" s="127" t="str">
        <f>Projektid!D19</f>
        <v>Harkujärve</v>
      </c>
      <c r="B20" s="128" t="str">
        <f>Projektid!E19</f>
        <v>Järvekalda, Loodjärve, Jaaniku ja Koduaia tee piirkonna ühisveevärgi ja -kanalisatsiooni rekonstrueerimine</v>
      </c>
      <c r="C20" s="129">
        <f>Projektid!K19</f>
        <v>332583</v>
      </c>
      <c r="D20" s="133">
        <f>C20/2</f>
        <v>166291.5</v>
      </c>
      <c r="E20" s="134">
        <f>D20</f>
        <v>166291.5</v>
      </c>
      <c r="F20" s="134"/>
      <c r="G20" s="122"/>
      <c r="H20" s="133"/>
      <c r="I20" s="134"/>
      <c r="J20" s="134"/>
      <c r="K20" s="134"/>
      <c r="L20" s="134"/>
      <c r="M20" s="134"/>
      <c r="N20" s="134"/>
      <c r="O20" s="122"/>
    </row>
    <row r="21" spans="1:15" ht="25.5">
      <c r="A21" s="127" t="str">
        <f>Projektid!D20</f>
        <v>Tiskre</v>
      </c>
      <c r="B21" s="128" t="str">
        <f>Projektid!E20</f>
        <v>Ühisveevärgi ja -kanalisatsiooni laiendamine Tammiaugu tee piirkonda (17 elamukinnistut) survekanalisatsiooni lahendusega</v>
      </c>
      <c r="C21" s="129">
        <f>Projektid!K20</f>
        <v>209864</v>
      </c>
      <c r="D21" s="133"/>
      <c r="E21" s="134"/>
      <c r="F21" s="134"/>
      <c r="G21" s="122"/>
      <c r="H21" s="133">
        <f>C21/8</f>
        <v>26233</v>
      </c>
      <c r="I21" s="134">
        <f t="shared" si="3"/>
        <v>26233</v>
      </c>
      <c r="J21" s="134">
        <f t="shared" si="3"/>
        <v>26233</v>
      </c>
      <c r="K21" s="134">
        <f t="shared" si="3"/>
        <v>26233</v>
      </c>
      <c r="L21" s="134">
        <f t="shared" si="3"/>
        <v>26233</v>
      </c>
      <c r="M21" s="134">
        <f t="shared" si="3"/>
        <v>26233</v>
      </c>
      <c r="N21" s="134">
        <f t="shared" si="3"/>
        <v>26233</v>
      </c>
      <c r="O21" s="122">
        <f t="shared" si="3"/>
        <v>26233</v>
      </c>
    </row>
    <row r="22" spans="1:15" ht="12.75">
      <c r="A22" s="127" t="str">
        <f>Projektid!D21</f>
        <v>Kumna-Tutermaa</v>
      </c>
      <c r="B22" s="128" t="str">
        <f>Projektid!E21</f>
        <v>Tutermaa küla ühisveergi ja -kanalisatsiooni rekonstrueerimine</v>
      </c>
      <c r="C22" s="129">
        <f>Projektid!K21</f>
        <v>343151</v>
      </c>
      <c r="D22" s="133">
        <f>C22/2</f>
        <v>171575.5</v>
      </c>
      <c r="E22" s="134">
        <f>D22</f>
        <v>171575.5</v>
      </c>
      <c r="F22" s="134"/>
      <c r="G22" s="122"/>
      <c r="H22" s="133"/>
      <c r="I22" s="134"/>
      <c r="J22" s="134"/>
      <c r="K22" s="134"/>
      <c r="L22" s="134"/>
      <c r="M22" s="134"/>
      <c r="N22" s="134"/>
      <c r="O22" s="122"/>
    </row>
    <row r="23" spans="1:15" ht="25.5">
      <c r="A23" s="127" t="str">
        <f>Projektid!D22</f>
        <v>Kumna-Tutermaa</v>
      </c>
      <c r="B23" s="128" t="str">
        <f>Projektid!E22</f>
        <v>Ühisveevärgi ja -kanalisatsiooni laiendamine Alajaama tee piirkonda (17 elamukinnistut) koos uue puurkaevpumplaga</v>
      </c>
      <c r="C23" s="129">
        <f>Projektid!K22</f>
        <v>311042</v>
      </c>
      <c r="D23" s="133"/>
      <c r="E23" s="134"/>
      <c r="F23" s="134"/>
      <c r="G23" s="122"/>
      <c r="H23" s="133">
        <f>C23/8</f>
        <v>38880.25</v>
      </c>
      <c r="I23" s="134">
        <f t="shared" si="3"/>
        <v>38880.25</v>
      </c>
      <c r="J23" s="134">
        <f t="shared" si="3"/>
        <v>38880.25</v>
      </c>
      <c r="K23" s="134">
        <f t="shared" si="3"/>
        <v>38880.25</v>
      </c>
      <c r="L23" s="134">
        <f t="shared" si="3"/>
        <v>38880.25</v>
      </c>
      <c r="M23" s="134">
        <f t="shared" si="3"/>
        <v>38880.25</v>
      </c>
      <c r="N23" s="134">
        <f t="shared" si="3"/>
        <v>38880.25</v>
      </c>
      <c r="O23" s="122">
        <f t="shared" si="3"/>
        <v>38880.25</v>
      </c>
    </row>
    <row r="24" spans="1:15" ht="12.75">
      <c r="A24" s="127" t="str">
        <f>Projektid!D23</f>
        <v>Naage</v>
      </c>
      <c r="B24" s="128" t="str">
        <f>Projektid!E23</f>
        <v>Naage veetöötlusjaama  rajamine</v>
      </c>
      <c r="C24" s="129">
        <f>Projektid!K23</f>
        <v>299723</v>
      </c>
      <c r="D24" s="133"/>
      <c r="E24" s="134"/>
      <c r="F24" s="134"/>
      <c r="G24" s="122"/>
      <c r="H24" s="133">
        <f>C24/8</f>
        <v>37465.375</v>
      </c>
      <c r="I24" s="134">
        <f>H24</f>
        <v>37465.375</v>
      </c>
      <c r="J24" s="134">
        <f aca="true" t="shared" si="4" ref="J24:O31">I24</f>
        <v>37465.375</v>
      </c>
      <c r="K24" s="134">
        <f t="shared" si="4"/>
        <v>37465.375</v>
      </c>
      <c r="L24" s="134">
        <f t="shared" si="4"/>
        <v>37465.375</v>
      </c>
      <c r="M24" s="134">
        <f t="shared" si="4"/>
        <v>37465.375</v>
      </c>
      <c r="N24" s="134">
        <f t="shared" si="4"/>
        <v>37465.375</v>
      </c>
      <c r="O24" s="122">
        <f t="shared" si="4"/>
        <v>37465.375</v>
      </c>
    </row>
    <row r="25" spans="1:15" ht="12.75">
      <c r="A25" s="127" t="str">
        <f>Projektid!D24</f>
        <v>Naage</v>
      </c>
      <c r="B25" s="128" t="str">
        <f>Projektid!E24</f>
        <v>Naage veetorustike rajamine</v>
      </c>
      <c r="C25" s="129">
        <f>Projektid!K24</f>
        <v>1114691</v>
      </c>
      <c r="D25" s="133"/>
      <c r="E25" s="134"/>
      <c r="F25" s="134"/>
      <c r="G25" s="122"/>
      <c r="H25" s="133">
        <f>C25/8</f>
        <v>139336.375</v>
      </c>
      <c r="I25" s="134">
        <f>H25</f>
        <v>139336.375</v>
      </c>
      <c r="J25" s="134">
        <f aca="true" t="shared" si="5" ref="J25:O25">I25</f>
        <v>139336.375</v>
      </c>
      <c r="K25" s="134">
        <f t="shared" si="5"/>
        <v>139336.375</v>
      </c>
      <c r="L25" s="134">
        <f t="shared" si="5"/>
        <v>139336.375</v>
      </c>
      <c r="M25" s="134">
        <f t="shared" si="5"/>
        <v>139336.375</v>
      </c>
      <c r="N25" s="134">
        <f t="shared" si="5"/>
        <v>139336.375</v>
      </c>
      <c r="O25" s="122">
        <f t="shared" si="5"/>
        <v>139336.375</v>
      </c>
    </row>
    <row r="26" spans="1:15" ht="12.75">
      <c r="A26" s="127" t="str">
        <f>Projektid!D25</f>
        <v>Naage</v>
      </c>
      <c r="B26" s="128" t="str">
        <f>Projektid!E25</f>
        <v>Naage kanalitorustike rajamine (sh ühendustorustik Vääna-Jõesuuga)</v>
      </c>
      <c r="C26" s="129">
        <f>Projektid!K25</f>
        <v>1851581</v>
      </c>
      <c r="D26" s="133"/>
      <c r="E26" s="134"/>
      <c r="F26" s="134"/>
      <c r="G26" s="122"/>
      <c r="H26" s="133">
        <f>C26/8</f>
        <v>231447.625</v>
      </c>
      <c r="I26" s="134">
        <f>H26</f>
        <v>231447.625</v>
      </c>
      <c r="J26" s="134">
        <f t="shared" si="4"/>
        <v>231447.625</v>
      </c>
      <c r="K26" s="134">
        <f t="shared" si="4"/>
        <v>231447.625</v>
      </c>
      <c r="L26" s="134">
        <f t="shared" si="4"/>
        <v>231447.625</v>
      </c>
      <c r="M26" s="134">
        <f t="shared" si="4"/>
        <v>231447.625</v>
      </c>
      <c r="N26" s="134">
        <f t="shared" si="4"/>
        <v>231447.625</v>
      </c>
      <c r="O26" s="122">
        <f t="shared" si="4"/>
        <v>231447.625</v>
      </c>
    </row>
    <row r="27" spans="1:15" ht="12.75">
      <c r="A27" s="127" t="str">
        <f>Projektid!D26</f>
        <v>Vääna</v>
      </c>
      <c r="B27" s="128" t="str">
        <f>Projektid!E26</f>
        <v>Vääna küla ühiskanalisatsiooni rekonstrueerimine</v>
      </c>
      <c r="C27" s="129">
        <f>Projektid!K26</f>
        <v>76230</v>
      </c>
      <c r="D27" s="133"/>
      <c r="E27" s="134"/>
      <c r="F27" s="134"/>
      <c r="G27" s="122"/>
      <c r="H27" s="133">
        <f>C27/8</f>
        <v>9528.75</v>
      </c>
      <c r="I27" s="134">
        <f>H27</f>
        <v>9528.75</v>
      </c>
      <c r="J27" s="134">
        <f t="shared" si="4"/>
        <v>9528.75</v>
      </c>
      <c r="K27" s="134">
        <f t="shared" si="4"/>
        <v>9528.75</v>
      </c>
      <c r="L27" s="134">
        <f t="shared" si="4"/>
        <v>9528.75</v>
      </c>
      <c r="M27" s="134">
        <f t="shared" si="4"/>
        <v>9528.75</v>
      </c>
      <c r="N27" s="134">
        <f t="shared" si="4"/>
        <v>9528.75</v>
      </c>
      <c r="O27" s="122">
        <f t="shared" si="4"/>
        <v>9528.75</v>
      </c>
    </row>
    <row r="28" spans="1:15" ht="12.75">
      <c r="A28" s="127" t="str">
        <f>Projektid!D27</f>
        <v>Vääna</v>
      </c>
      <c r="B28" s="128" t="str">
        <f>Projektid!E27</f>
        <v>Reoveepuhasti biotiikide puhastamine settest</v>
      </c>
      <c r="C28" s="129">
        <f>Projektid!K27</f>
        <v>23100</v>
      </c>
      <c r="D28" s="133">
        <f>C28</f>
        <v>23100</v>
      </c>
      <c r="E28" s="134"/>
      <c r="F28" s="134"/>
      <c r="G28" s="122"/>
      <c r="H28" s="133"/>
      <c r="I28" s="134"/>
      <c r="J28" s="134"/>
      <c r="K28" s="134"/>
      <c r="L28" s="134"/>
      <c r="M28" s="134"/>
      <c r="N28" s="134"/>
      <c r="O28" s="122"/>
    </row>
    <row r="29" spans="1:15" ht="12.75">
      <c r="A29" s="127" t="str">
        <f>Projektid!D28</f>
        <v>Vahi</v>
      </c>
      <c r="B29" s="128" t="str">
        <f>Projektid!E28</f>
        <v>Kogumismahuti asemel uue reoveepuhasti 200IE rajamine</v>
      </c>
      <c r="C29" s="129">
        <f>Projektid!K28</f>
        <v>173250</v>
      </c>
      <c r="D29" s="133"/>
      <c r="E29" s="134"/>
      <c r="F29" s="134"/>
      <c r="G29" s="122"/>
      <c r="H29" s="133">
        <f>C29/8</f>
        <v>21656.25</v>
      </c>
      <c r="I29" s="134">
        <f>H29</f>
        <v>21656.25</v>
      </c>
      <c r="J29" s="134">
        <f t="shared" si="4"/>
        <v>21656.25</v>
      </c>
      <c r="K29" s="134">
        <f t="shared" si="4"/>
        <v>21656.25</v>
      </c>
      <c r="L29" s="134">
        <f t="shared" si="4"/>
        <v>21656.25</v>
      </c>
      <c r="M29" s="134">
        <f t="shared" si="4"/>
        <v>21656.25</v>
      </c>
      <c r="N29" s="134">
        <f t="shared" si="4"/>
        <v>21656.25</v>
      </c>
      <c r="O29" s="122">
        <f t="shared" si="4"/>
        <v>21656.25</v>
      </c>
    </row>
    <row r="30" spans="1:15" ht="12.75">
      <c r="A30" s="127" t="str">
        <f>Projektid!D29</f>
        <v>Sõrve tee</v>
      </c>
      <c r="B30" s="128" t="str">
        <f>Projektid!E29</f>
        <v>Sõrve (Vilipi) reoveepuhasti rajamine</v>
      </c>
      <c r="C30" s="129">
        <f>Projektid!K29</f>
        <v>219450</v>
      </c>
      <c r="D30" s="133"/>
      <c r="E30" s="134">
        <f>C30/2</f>
        <v>109725</v>
      </c>
      <c r="F30" s="134">
        <f>E30</f>
        <v>109725</v>
      </c>
      <c r="G30" s="122"/>
      <c r="H30" s="133"/>
      <c r="I30" s="134"/>
      <c r="J30" s="134"/>
      <c r="K30" s="134"/>
      <c r="L30" s="134"/>
      <c r="M30" s="134"/>
      <c r="N30" s="134"/>
      <c r="O30" s="122"/>
    </row>
    <row r="31" spans="1:15" ht="12.75">
      <c r="A31" s="127" t="str">
        <f>Projektid!D30</f>
        <v>Sõrve tee</v>
      </c>
      <c r="B31" s="128" t="str">
        <f>Projektid!E30</f>
        <v>Otsa-Mikko piirkonna kanalisatsiooni ühendamine Vitiga</v>
      </c>
      <c r="C31" s="129">
        <f>Projektid!K30</f>
        <v>246015</v>
      </c>
      <c r="D31" s="133"/>
      <c r="E31" s="134"/>
      <c r="F31" s="134"/>
      <c r="G31" s="122"/>
      <c r="H31" s="133">
        <f>C31/8</f>
        <v>30751.875</v>
      </c>
      <c r="I31" s="134">
        <f>H31</f>
        <v>30751.875</v>
      </c>
      <c r="J31" s="134">
        <f t="shared" si="4"/>
        <v>30751.875</v>
      </c>
      <c r="K31" s="134">
        <f t="shared" si="4"/>
        <v>30751.875</v>
      </c>
      <c r="L31" s="134">
        <f t="shared" si="4"/>
        <v>30751.875</v>
      </c>
      <c r="M31" s="134">
        <f t="shared" si="4"/>
        <v>30751.875</v>
      </c>
      <c r="N31" s="134">
        <f t="shared" si="4"/>
        <v>30751.875</v>
      </c>
      <c r="O31" s="122">
        <f t="shared" si="4"/>
        <v>30751.875</v>
      </c>
    </row>
    <row r="32" spans="1:15" ht="13.5" thickBot="1">
      <c r="A32" s="127" t="str">
        <f>Projektid!D31</f>
        <v>Sõrve tee</v>
      </c>
      <c r="B32" s="128" t="str">
        <f>Projektid!E31</f>
        <v>Loopealse ja Lootaguse piirkonna reoveepuhasti rajamine</v>
      </c>
      <c r="C32" s="129">
        <f>Projektid!K31</f>
        <v>118388</v>
      </c>
      <c r="D32" s="135">
        <f>C32</f>
        <v>118388</v>
      </c>
      <c r="E32" s="136"/>
      <c r="F32" s="136"/>
      <c r="G32" s="137"/>
      <c r="H32" s="135"/>
      <c r="I32" s="136"/>
      <c r="J32" s="136"/>
      <c r="K32" s="136"/>
      <c r="L32" s="136"/>
      <c r="M32" s="136"/>
      <c r="N32" s="136"/>
      <c r="O32" s="137"/>
    </row>
    <row r="33" spans="3:15" ht="13.5" thickBot="1">
      <c r="C33" s="138">
        <f aca="true" t="shared" si="6" ref="C33:O33">SUM(C3:C32)</f>
        <v>10373927</v>
      </c>
      <c r="D33" s="139">
        <f t="shared" si="6"/>
        <v>1939862.5</v>
      </c>
      <c r="E33" s="140">
        <f t="shared" si="6"/>
        <v>1460234.8333333333</v>
      </c>
      <c r="F33" s="140">
        <f t="shared" si="6"/>
        <v>1137874.3333333333</v>
      </c>
      <c r="G33" s="141">
        <f t="shared" si="6"/>
        <v>893822.3333333333</v>
      </c>
      <c r="H33" s="139">
        <f t="shared" si="6"/>
        <v>617766.625</v>
      </c>
      <c r="I33" s="140">
        <f t="shared" si="6"/>
        <v>617766.625</v>
      </c>
      <c r="J33" s="140">
        <f t="shared" si="6"/>
        <v>617766.625</v>
      </c>
      <c r="K33" s="140">
        <f t="shared" si="6"/>
        <v>617766.625</v>
      </c>
      <c r="L33" s="140">
        <f t="shared" si="6"/>
        <v>617766.625</v>
      </c>
      <c r="M33" s="140">
        <f t="shared" si="6"/>
        <v>617766.625</v>
      </c>
      <c r="N33" s="140">
        <f t="shared" si="6"/>
        <v>617766.625</v>
      </c>
      <c r="O33" s="141">
        <f t="shared" si="6"/>
        <v>617766.625</v>
      </c>
    </row>
    <row r="34" spans="3:15" ht="13.5" thickBot="1">
      <c r="C34" s="142"/>
      <c r="D34" s="123">
        <f>SUM(D33:G33)</f>
        <v>5431793.999999999</v>
      </c>
      <c r="E34" s="124"/>
      <c r="F34" s="124"/>
      <c r="G34" s="125"/>
      <c r="H34" s="123">
        <f>SUM(H33:O33)</f>
        <v>4942133</v>
      </c>
      <c r="I34" s="124"/>
      <c r="J34" s="124"/>
      <c r="K34" s="124"/>
      <c r="L34" s="124"/>
      <c r="M34" s="124"/>
      <c r="N34" s="124"/>
      <c r="O34" s="125"/>
    </row>
  </sheetData>
  <sheetProtection/>
  <mergeCells count="4">
    <mergeCell ref="D1:G1"/>
    <mergeCell ref="H1:O1"/>
    <mergeCell ref="D34:G34"/>
    <mergeCell ref="H34:O3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07"/>
  <sheetViews>
    <sheetView zoomScalePageLayoutView="0" workbookViewId="0" topLeftCell="A1">
      <selection activeCell="I20" sqref="I20"/>
    </sheetView>
  </sheetViews>
  <sheetFormatPr defaultColWidth="47.28125" defaultRowHeight="12.75"/>
  <cols>
    <col min="1" max="1" width="6.7109375" style="0" customWidth="1"/>
    <col min="2" max="2" width="4.7109375" style="2" customWidth="1"/>
    <col min="3" max="3" width="49.57421875" style="1" customWidth="1"/>
    <col min="4" max="4" width="5.28125" style="2" customWidth="1"/>
    <col min="5" max="5" width="6.7109375" style="2" customWidth="1"/>
    <col min="6" max="7" width="12.28125" style="0" customWidth="1"/>
    <col min="8" max="26" width="11.8515625" style="0" customWidth="1"/>
  </cols>
  <sheetData>
    <row r="1" ht="12.75">
      <c r="B1" s="44" t="s">
        <v>152</v>
      </c>
    </row>
    <row r="2" spans="2:6" ht="12.75">
      <c r="B2" s="38" t="s">
        <v>252</v>
      </c>
      <c r="C2" s="39" t="s">
        <v>244</v>
      </c>
      <c r="D2" s="40" t="s">
        <v>3</v>
      </c>
      <c r="E2" s="40" t="s">
        <v>29</v>
      </c>
      <c r="F2" s="43"/>
    </row>
    <row r="3" spans="2:6" ht="12.75">
      <c r="B3" s="38">
        <v>1</v>
      </c>
      <c r="C3" s="39" t="s">
        <v>283</v>
      </c>
      <c r="D3" s="40"/>
      <c r="E3" s="40"/>
      <c r="F3" s="43"/>
    </row>
    <row r="4" spans="2:6" ht="25.5">
      <c r="B4" s="41"/>
      <c r="C4" s="42" t="s">
        <v>284</v>
      </c>
      <c r="D4" s="41" t="s">
        <v>4</v>
      </c>
      <c r="E4" s="41">
        <v>437</v>
      </c>
      <c r="F4" s="43"/>
    </row>
    <row r="5" spans="2:6" ht="12.75">
      <c r="B5" s="41"/>
      <c r="C5" s="42" t="s">
        <v>265</v>
      </c>
      <c r="D5" s="41" t="s">
        <v>8</v>
      </c>
      <c r="E5" s="41">
        <v>3</v>
      </c>
      <c r="F5" s="43"/>
    </row>
    <row r="6" spans="2:6" ht="12.75">
      <c r="B6" s="38">
        <v>2</v>
      </c>
      <c r="C6" s="39" t="s">
        <v>285</v>
      </c>
      <c r="D6" s="40"/>
      <c r="E6" s="40"/>
      <c r="F6" s="43"/>
    </row>
    <row r="7" spans="2:6" ht="12.75">
      <c r="B7" s="41"/>
      <c r="C7" s="42" t="s">
        <v>286</v>
      </c>
      <c r="D7" s="41" t="s">
        <v>4</v>
      </c>
      <c r="E7" s="41">
        <v>376</v>
      </c>
      <c r="F7" s="43"/>
    </row>
    <row r="8" spans="2:6" ht="25.5">
      <c r="B8" s="41"/>
      <c r="C8" s="42" t="s">
        <v>287</v>
      </c>
      <c r="D8" s="41" t="s">
        <v>4</v>
      </c>
      <c r="E8" s="41">
        <v>104</v>
      </c>
      <c r="F8" s="43"/>
    </row>
    <row r="9" spans="2:6" ht="12.75">
      <c r="B9" s="41"/>
      <c r="C9" s="42" t="s">
        <v>291</v>
      </c>
      <c r="D9" s="41" t="s">
        <v>5</v>
      </c>
      <c r="E9" s="41">
        <v>1</v>
      </c>
      <c r="F9" s="43"/>
    </row>
    <row r="10" spans="2:6" ht="12.75">
      <c r="B10" s="38">
        <v>3</v>
      </c>
      <c r="C10" s="39" t="s">
        <v>288</v>
      </c>
      <c r="D10" s="40"/>
      <c r="E10" s="40"/>
      <c r="F10" s="43"/>
    </row>
    <row r="11" spans="2:6" ht="12.75">
      <c r="B11" s="41"/>
      <c r="C11" s="42" t="s">
        <v>289</v>
      </c>
      <c r="D11" s="41" t="s">
        <v>4</v>
      </c>
      <c r="E11" s="41">
        <v>86</v>
      </c>
      <c r="F11" s="43"/>
    </row>
    <row r="12" spans="2:6" ht="12.75">
      <c r="B12" s="41"/>
      <c r="C12" s="42" t="s">
        <v>290</v>
      </c>
      <c r="D12" s="41" t="s">
        <v>4</v>
      </c>
      <c r="E12" s="41">
        <v>605</v>
      </c>
      <c r="F12" s="43"/>
    </row>
    <row r="14" ht="12.75">
      <c r="B14" s="44" t="s">
        <v>257</v>
      </c>
    </row>
    <row r="15" spans="2:5" ht="12.75">
      <c r="B15" s="38" t="s">
        <v>252</v>
      </c>
      <c r="C15" s="39" t="s">
        <v>244</v>
      </c>
      <c r="D15" s="40" t="s">
        <v>3</v>
      </c>
      <c r="E15" s="40" t="s">
        <v>29</v>
      </c>
    </row>
    <row r="16" spans="2:5" ht="12.75">
      <c r="B16" s="41">
        <v>1</v>
      </c>
      <c r="C16" s="42" t="s">
        <v>147</v>
      </c>
      <c r="D16" s="41" t="s">
        <v>5</v>
      </c>
      <c r="E16" s="41">
        <v>1</v>
      </c>
    </row>
    <row r="17" spans="2:5" ht="25.5">
      <c r="B17" s="41">
        <v>2</v>
      </c>
      <c r="C17" s="42" t="s">
        <v>245</v>
      </c>
      <c r="D17" s="41" t="s">
        <v>5</v>
      </c>
      <c r="E17" s="41">
        <v>1</v>
      </c>
    </row>
    <row r="18" spans="2:5" ht="25.5">
      <c r="B18" s="41">
        <v>4</v>
      </c>
      <c r="C18" s="42" t="s">
        <v>249</v>
      </c>
      <c r="D18" s="41" t="s">
        <v>5</v>
      </c>
      <c r="E18" s="41">
        <v>1</v>
      </c>
    </row>
    <row r="19" spans="2:5" ht="25.5">
      <c r="B19" s="41">
        <v>5</v>
      </c>
      <c r="C19" s="42" t="s">
        <v>250</v>
      </c>
      <c r="D19" s="41" t="s">
        <v>5</v>
      </c>
      <c r="E19" s="41">
        <v>1</v>
      </c>
    </row>
    <row r="20" spans="2:5" ht="25.5">
      <c r="B20" s="41">
        <v>6</v>
      </c>
      <c r="C20" s="42" t="s">
        <v>251</v>
      </c>
      <c r="D20" s="41" t="s">
        <v>5</v>
      </c>
      <c r="E20" s="41">
        <v>1</v>
      </c>
    </row>
    <row r="21" spans="2:5" ht="25.5">
      <c r="B21" s="41">
        <v>7</v>
      </c>
      <c r="C21" s="42" t="s">
        <v>246</v>
      </c>
      <c r="D21" s="41" t="s">
        <v>5</v>
      </c>
      <c r="E21" s="41">
        <v>1</v>
      </c>
    </row>
    <row r="22" spans="2:5" ht="25.5">
      <c r="B22" s="41">
        <v>8</v>
      </c>
      <c r="C22" s="42" t="s">
        <v>247</v>
      </c>
      <c r="D22" s="41" t="s">
        <v>4</v>
      </c>
      <c r="E22" s="41">
        <v>290</v>
      </c>
    </row>
    <row r="23" spans="2:5" ht="38.25">
      <c r="B23" s="41">
        <v>9</v>
      </c>
      <c r="C23" s="42" t="s">
        <v>248</v>
      </c>
      <c r="D23" s="41" t="s">
        <v>4</v>
      </c>
      <c r="E23" s="41">
        <v>270</v>
      </c>
    </row>
    <row r="24" spans="2:5" ht="12.75">
      <c r="B24" s="45"/>
      <c r="C24" s="46"/>
      <c r="D24" s="45"/>
      <c r="E24" s="45"/>
    </row>
    <row r="25" ht="12.75">
      <c r="B25" s="44" t="s">
        <v>258</v>
      </c>
    </row>
    <row r="26" spans="2:5" ht="12.75">
      <c r="B26" s="38" t="s">
        <v>252</v>
      </c>
      <c r="C26" s="39" t="s">
        <v>244</v>
      </c>
      <c r="D26" s="40" t="s">
        <v>3</v>
      </c>
      <c r="E26" s="40" t="s">
        <v>29</v>
      </c>
    </row>
    <row r="27" spans="2:6" ht="12.75">
      <c r="B27" s="41">
        <v>1</v>
      </c>
      <c r="C27" s="42" t="s">
        <v>253</v>
      </c>
      <c r="D27" s="41" t="s">
        <v>4</v>
      </c>
      <c r="E27" s="41">
        <v>2220</v>
      </c>
      <c r="F27" s="43"/>
    </row>
    <row r="28" spans="2:6" ht="12.75">
      <c r="B28" s="41">
        <v>2</v>
      </c>
      <c r="C28" s="42" t="s">
        <v>254</v>
      </c>
      <c r="D28" s="41" t="s">
        <v>4</v>
      </c>
      <c r="E28" s="41">
        <v>1687</v>
      </c>
      <c r="F28" s="43"/>
    </row>
    <row r="29" spans="2:6" ht="12.75">
      <c r="B29" s="41">
        <v>3</v>
      </c>
      <c r="C29" s="42" t="s">
        <v>255</v>
      </c>
      <c r="D29" s="41" t="s">
        <v>8</v>
      </c>
      <c r="E29" s="41">
        <v>8</v>
      </c>
      <c r="F29" s="43"/>
    </row>
    <row r="30" spans="2:6" ht="25.5">
      <c r="B30" s="41">
        <v>4</v>
      </c>
      <c r="C30" s="42" t="s">
        <v>141</v>
      </c>
      <c r="D30" s="41" t="s">
        <v>5</v>
      </c>
      <c r="E30" s="41">
        <v>1</v>
      </c>
      <c r="F30" s="43"/>
    </row>
    <row r="31" spans="2:6" ht="25.5">
      <c r="B31" s="41">
        <v>5</v>
      </c>
      <c r="C31" s="42" t="s">
        <v>142</v>
      </c>
      <c r="D31" s="41" t="s">
        <v>5</v>
      </c>
      <c r="E31" s="41">
        <v>1</v>
      </c>
      <c r="F31" s="43"/>
    </row>
    <row r="32" spans="2:6" ht="12.75">
      <c r="B32" s="41">
        <v>6</v>
      </c>
      <c r="C32" s="42" t="s">
        <v>256</v>
      </c>
      <c r="D32" s="41" t="s">
        <v>5</v>
      </c>
      <c r="E32" s="41">
        <v>1</v>
      </c>
      <c r="F32" s="43"/>
    </row>
    <row r="34" ht="12.75">
      <c r="B34" s="44" t="s">
        <v>259</v>
      </c>
    </row>
    <row r="35" spans="2:5" ht="12.75">
      <c r="B35" s="38" t="s">
        <v>252</v>
      </c>
      <c r="C35" s="39" t="s">
        <v>244</v>
      </c>
      <c r="D35" s="40" t="s">
        <v>3</v>
      </c>
      <c r="E35" s="40" t="s">
        <v>29</v>
      </c>
    </row>
    <row r="36" spans="2:5" ht="12.75">
      <c r="B36" s="49">
        <v>1</v>
      </c>
      <c r="C36" s="33" t="s">
        <v>261</v>
      </c>
      <c r="D36" s="49" t="s">
        <v>4</v>
      </c>
      <c r="E36" s="50">
        <v>1760</v>
      </c>
    </row>
    <row r="37" spans="2:5" ht="12.75">
      <c r="B37" s="49">
        <v>2</v>
      </c>
      <c r="C37" s="33" t="s">
        <v>260</v>
      </c>
      <c r="D37" s="49" t="s">
        <v>4</v>
      </c>
      <c r="E37" s="50">
        <v>1545</v>
      </c>
    </row>
    <row r="38" spans="2:5" ht="12.75">
      <c r="B38" s="49">
        <v>3</v>
      </c>
      <c r="C38" s="33" t="s">
        <v>262</v>
      </c>
      <c r="D38" s="49" t="s">
        <v>4</v>
      </c>
      <c r="E38" s="50">
        <v>265</v>
      </c>
    </row>
    <row r="39" spans="2:5" ht="12.75">
      <c r="B39" s="49">
        <v>4</v>
      </c>
      <c r="C39" s="33" t="s">
        <v>269</v>
      </c>
      <c r="D39" s="49" t="s">
        <v>5</v>
      </c>
      <c r="E39" s="50">
        <v>2</v>
      </c>
    </row>
    <row r="40" spans="2:5" ht="12.75">
      <c r="B40" s="49">
        <v>5</v>
      </c>
      <c r="C40" s="33" t="s">
        <v>263</v>
      </c>
      <c r="D40" s="49" t="s">
        <v>8</v>
      </c>
      <c r="E40" s="50">
        <v>20</v>
      </c>
    </row>
    <row r="41" spans="2:5" ht="25.5">
      <c r="B41" s="49">
        <v>6</v>
      </c>
      <c r="C41" s="33" t="s">
        <v>264</v>
      </c>
      <c r="D41" s="49" t="s">
        <v>8</v>
      </c>
      <c r="E41" s="50">
        <v>28</v>
      </c>
    </row>
    <row r="42" spans="2:5" ht="12.75">
      <c r="B42" s="49">
        <v>7</v>
      </c>
      <c r="C42" s="33" t="s">
        <v>265</v>
      </c>
      <c r="D42" s="49" t="s">
        <v>8</v>
      </c>
      <c r="E42" s="50">
        <v>7</v>
      </c>
    </row>
    <row r="43" spans="2:5" ht="12.75">
      <c r="B43" s="51"/>
      <c r="C43" s="52"/>
      <c r="D43" s="51"/>
      <c r="E43" s="47"/>
    </row>
    <row r="44" ht="12.75">
      <c r="B44" s="44" t="s">
        <v>266</v>
      </c>
    </row>
    <row r="45" spans="2:5" ht="12.75">
      <c r="B45" s="38" t="s">
        <v>252</v>
      </c>
      <c r="C45" s="39" t="s">
        <v>244</v>
      </c>
      <c r="D45" s="40" t="s">
        <v>3</v>
      </c>
      <c r="E45" s="40" t="s">
        <v>29</v>
      </c>
    </row>
    <row r="46" spans="2:5" ht="12.75">
      <c r="B46" s="49">
        <v>1</v>
      </c>
      <c r="C46" s="33" t="s">
        <v>154</v>
      </c>
      <c r="D46" s="49" t="s">
        <v>4</v>
      </c>
      <c r="E46" s="49">
        <v>1755</v>
      </c>
    </row>
    <row r="47" spans="2:5" ht="12.75">
      <c r="B47" s="49">
        <v>2</v>
      </c>
      <c r="C47" s="33" t="s">
        <v>156</v>
      </c>
      <c r="D47" s="49" t="s">
        <v>4</v>
      </c>
      <c r="E47" s="49">
        <v>1300</v>
      </c>
    </row>
    <row r="48" spans="2:5" ht="12.75">
      <c r="B48" s="49">
        <v>3</v>
      </c>
      <c r="C48" s="33" t="s">
        <v>155</v>
      </c>
      <c r="D48" s="49" t="s">
        <v>4</v>
      </c>
      <c r="E48" s="49">
        <v>1220</v>
      </c>
    </row>
    <row r="49" spans="2:5" ht="12.75">
      <c r="B49" s="49">
        <v>4</v>
      </c>
      <c r="C49" s="33" t="s">
        <v>269</v>
      </c>
      <c r="D49" s="49" t="s">
        <v>5</v>
      </c>
      <c r="E49" s="49">
        <v>3</v>
      </c>
    </row>
    <row r="50" spans="2:5" ht="12.75">
      <c r="B50" s="49">
        <v>5</v>
      </c>
      <c r="C50" s="33" t="s">
        <v>267</v>
      </c>
      <c r="D50" s="49" t="s">
        <v>8</v>
      </c>
      <c r="E50" s="49">
        <v>31</v>
      </c>
    </row>
    <row r="51" spans="2:5" ht="12.75">
      <c r="B51" s="49">
        <v>6</v>
      </c>
      <c r="C51" s="33" t="s">
        <v>268</v>
      </c>
      <c r="D51" s="49" t="s">
        <v>8</v>
      </c>
      <c r="E51" s="49">
        <v>31</v>
      </c>
    </row>
    <row r="52" spans="2:5" ht="12.75">
      <c r="B52" s="49">
        <v>7</v>
      </c>
      <c r="C52" s="33" t="s">
        <v>265</v>
      </c>
      <c r="D52" s="49" t="s">
        <v>8</v>
      </c>
      <c r="E52" s="49">
        <v>7</v>
      </c>
    </row>
    <row r="55" ht="12.75">
      <c r="B55" s="44" t="s">
        <v>271</v>
      </c>
    </row>
    <row r="56" spans="2:5" ht="12.75">
      <c r="B56" s="38" t="s">
        <v>252</v>
      </c>
      <c r="C56" s="39" t="s">
        <v>244</v>
      </c>
      <c r="D56" s="40" t="s">
        <v>3</v>
      </c>
      <c r="E56" s="40" t="s">
        <v>29</v>
      </c>
    </row>
    <row r="57" spans="2:5" ht="25.5">
      <c r="B57" s="41">
        <v>1</v>
      </c>
      <c r="C57" s="42" t="s">
        <v>245</v>
      </c>
      <c r="D57" s="41" t="s">
        <v>5</v>
      </c>
      <c r="E57" s="41">
        <v>1</v>
      </c>
    </row>
    <row r="58" spans="2:5" ht="25.5">
      <c r="B58" s="41">
        <v>2</v>
      </c>
      <c r="C58" s="42" t="s">
        <v>249</v>
      </c>
      <c r="D58" s="41" t="s">
        <v>5</v>
      </c>
      <c r="E58" s="41">
        <v>1</v>
      </c>
    </row>
    <row r="59" spans="2:5" ht="25.5">
      <c r="B59" s="41">
        <v>3</v>
      </c>
      <c r="C59" s="42" t="s">
        <v>250</v>
      </c>
      <c r="D59" s="41" t="s">
        <v>5</v>
      </c>
      <c r="E59" s="41">
        <v>1</v>
      </c>
    </row>
    <row r="60" spans="2:5" ht="25.5">
      <c r="B60" s="41">
        <v>4</v>
      </c>
      <c r="C60" s="42" t="s">
        <v>251</v>
      </c>
      <c r="D60" s="41" t="s">
        <v>5</v>
      </c>
      <c r="E60" s="41">
        <v>1</v>
      </c>
    </row>
    <row r="61" spans="2:5" ht="25.5">
      <c r="B61" s="41">
        <v>5</v>
      </c>
      <c r="C61" s="42" t="s">
        <v>246</v>
      </c>
      <c r="D61" s="41" t="s">
        <v>5</v>
      </c>
      <c r="E61" s="41">
        <v>1</v>
      </c>
    </row>
    <row r="62" spans="2:5" ht="38.25">
      <c r="B62" s="41">
        <v>6</v>
      </c>
      <c r="C62" s="42" t="s">
        <v>272</v>
      </c>
      <c r="D62" s="41" t="s">
        <v>4</v>
      </c>
      <c r="E62" s="41">
        <v>600</v>
      </c>
    </row>
    <row r="63" spans="2:5" ht="25.5">
      <c r="B63" s="41">
        <v>7</v>
      </c>
      <c r="C63" s="42" t="s">
        <v>270</v>
      </c>
      <c r="D63" s="41" t="s">
        <v>4</v>
      </c>
      <c r="E63" s="41">
        <v>400</v>
      </c>
    </row>
    <row r="65" ht="12.75">
      <c r="B65" s="44" t="s">
        <v>273</v>
      </c>
    </row>
    <row r="66" spans="2:5" ht="12.75">
      <c r="B66" s="38" t="s">
        <v>252</v>
      </c>
      <c r="C66" s="39" t="s">
        <v>244</v>
      </c>
      <c r="D66" s="40" t="s">
        <v>3</v>
      </c>
      <c r="E66" s="40" t="s">
        <v>29</v>
      </c>
    </row>
    <row r="67" spans="2:5" ht="25.5">
      <c r="B67" s="41">
        <v>1</v>
      </c>
      <c r="C67" s="42" t="s">
        <v>245</v>
      </c>
      <c r="D67" s="41" t="s">
        <v>5</v>
      </c>
      <c r="E67" s="41">
        <v>1</v>
      </c>
    </row>
    <row r="68" spans="2:5" ht="25.5">
      <c r="B68" s="41">
        <v>2</v>
      </c>
      <c r="C68" s="42" t="s">
        <v>249</v>
      </c>
      <c r="D68" s="41" t="s">
        <v>5</v>
      </c>
      <c r="E68" s="41">
        <v>1</v>
      </c>
    </row>
    <row r="69" spans="2:5" ht="25.5">
      <c r="B69" s="41">
        <v>3</v>
      </c>
      <c r="C69" s="42" t="s">
        <v>250</v>
      </c>
      <c r="D69" s="41" t="s">
        <v>5</v>
      </c>
      <c r="E69" s="41">
        <v>1</v>
      </c>
    </row>
    <row r="70" spans="2:5" ht="25.5">
      <c r="B70" s="41">
        <v>4</v>
      </c>
      <c r="C70" s="42" t="s">
        <v>251</v>
      </c>
      <c r="D70" s="41" t="s">
        <v>5</v>
      </c>
      <c r="E70" s="41">
        <v>1</v>
      </c>
    </row>
    <row r="71" spans="2:5" ht="25.5">
      <c r="B71" s="41">
        <v>5</v>
      </c>
      <c r="C71" s="42" t="s">
        <v>246</v>
      </c>
      <c r="D71" s="41" t="s">
        <v>5</v>
      </c>
      <c r="E71" s="41">
        <v>1</v>
      </c>
    </row>
    <row r="73" ht="12.75">
      <c r="B73" s="44" t="s">
        <v>274</v>
      </c>
    </row>
    <row r="74" spans="2:5" ht="12.75">
      <c r="B74" s="38" t="s">
        <v>252</v>
      </c>
      <c r="C74" s="39" t="s">
        <v>244</v>
      </c>
      <c r="D74" s="40" t="s">
        <v>3</v>
      </c>
      <c r="E74" s="40" t="s">
        <v>29</v>
      </c>
    </row>
    <row r="75" spans="2:5" ht="12.75">
      <c r="B75" s="49">
        <v>1</v>
      </c>
      <c r="C75" s="53" t="s">
        <v>79</v>
      </c>
      <c r="D75" s="49" t="s">
        <v>4</v>
      </c>
      <c r="E75" s="50">
        <v>900</v>
      </c>
    </row>
    <row r="76" spans="2:5" ht="12.75">
      <c r="B76" s="49">
        <v>2</v>
      </c>
      <c r="C76" s="53" t="s">
        <v>91</v>
      </c>
      <c r="D76" s="49" t="s">
        <v>4</v>
      </c>
      <c r="E76" s="50">
        <v>1250</v>
      </c>
    </row>
    <row r="77" spans="2:5" ht="12.75">
      <c r="B77" s="49">
        <v>3</v>
      </c>
      <c r="C77" s="53" t="s">
        <v>95</v>
      </c>
      <c r="D77" s="49" t="s">
        <v>4</v>
      </c>
      <c r="E77" s="50">
        <v>155</v>
      </c>
    </row>
    <row r="78" spans="2:5" ht="12.75">
      <c r="B78" s="49">
        <v>4</v>
      </c>
      <c r="C78" s="53" t="s">
        <v>276</v>
      </c>
      <c r="D78" s="49" t="s">
        <v>8</v>
      </c>
      <c r="E78" s="50">
        <v>20</v>
      </c>
    </row>
    <row r="79" spans="2:5" ht="12.75">
      <c r="B79" s="49">
        <v>5</v>
      </c>
      <c r="C79" s="53" t="s">
        <v>275</v>
      </c>
      <c r="D79" s="49" t="s">
        <v>8</v>
      </c>
      <c r="E79" s="50">
        <v>20</v>
      </c>
    </row>
    <row r="81" ht="12.75">
      <c r="B81" s="2" t="s">
        <v>176</v>
      </c>
    </row>
    <row r="82" spans="2:5" ht="12.75">
      <c r="B82" s="38" t="s">
        <v>252</v>
      </c>
      <c r="C82" s="39" t="s">
        <v>244</v>
      </c>
      <c r="D82" s="40" t="s">
        <v>3</v>
      </c>
      <c r="E82" s="40" t="s">
        <v>29</v>
      </c>
    </row>
    <row r="83" spans="2:5" ht="12.75">
      <c r="B83" s="49">
        <v>1</v>
      </c>
      <c r="C83" s="53" t="s">
        <v>79</v>
      </c>
      <c r="D83" s="49" t="s">
        <v>4</v>
      </c>
      <c r="E83" s="50">
        <v>1180</v>
      </c>
    </row>
    <row r="84" spans="2:5" ht="12.75">
      <c r="B84" s="49">
        <v>2</v>
      </c>
      <c r="C84" s="53" t="s">
        <v>91</v>
      </c>
      <c r="D84" s="49" t="s">
        <v>4</v>
      </c>
      <c r="E84" s="50">
        <v>1430</v>
      </c>
    </row>
    <row r="85" spans="2:5" ht="12.75">
      <c r="B85" s="51"/>
      <c r="C85" s="54"/>
      <c r="D85" s="51"/>
      <c r="E85" s="47"/>
    </row>
    <row r="86" ht="12.75">
      <c r="B86" s="60" t="s">
        <v>277</v>
      </c>
    </row>
    <row r="87" spans="2:5" ht="12.75">
      <c r="B87" s="38" t="s">
        <v>252</v>
      </c>
      <c r="C87" s="39" t="s">
        <v>244</v>
      </c>
      <c r="D87" s="40" t="s">
        <v>3</v>
      </c>
      <c r="E87" s="40" t="s">
        <v>29</v>
      </c>
    </row>
    <row r="88" spans="2:5" ht="25.5">
      <c r="B88" s="49">
        <v>1</v>
      </c>
      <c r="C88" s="33" t="s">
        <v>278</v>
      </c>
      <c r="D88" s="49" t="s">
        <v>5</v>
      </c>
      <c r="E88" s="50">
        <v>1</v>
      </c>
    </row>
    <row r="89" spans="2:5" ht="12.75">
      <c r="B89" s="49">
        <v>2</v>
      </c>
      <c r="C89" s="33" t="s">
        <v>279</v>
      </c>
      <c r="D89" s="49" t="s">
        <v>4</v>
      </c>
      <c r="E89" s="50">
        <v>500</v>
      </c>
    </row>
    <row r="90" spans="2:5" ht="38.25">
      <c r="B90" s="49">
        <v>3</v>
      </c>
      <c r="C90" s="33" t="s">
        <v>280</v>
      </c>
      <c r="D90" s="49" t="s">
        <v>5</v>
      </c>
      <c r="E90" s="50">
        <v>1</v>
      </c>
    </row>
    <row r="91" spans="3:5" ht="12.75">
      <c r="C91" s="56"/>
      <c r="D91" s="57"/>
      <c r="E91" s="58"/>
    </row>
    <row r="92" spans="2:5" ht="12.75">
      <c r="B92" s="44" t="s">
        <v>281</v>
      </c>
      <c r="C92" s="55"/>
      <c r="D92" s="48"/>
      <c r="E92" s="37"/>
    </row>
    <row r="93" spans="2:5" ht="12.75">
      <c r="B93" s="38" t="s">
        <v>252</v>
      </c>
      <c r="C93" s="39" t="s">
        <v>244</v>
      </c>
      <c r="D93" s="40" t="s">
        <v>3</v>
      </c>
      <c r="E93" s="40" t="s">
        <v>29</v>
      </c>
    </row>
    <row r="94" spans="2:5" ht="25.5">
      <c r="B94" s="49">
        <v>1</v>
      </c>
      <c r="C94" s="33" t="s">
        <v>278</v>
      </c>
      <c r="D94" s="49" t="s">
        <v>5</v>
      </c>
      <c r="E94" s="50">
        <v>1</v>
      </c>
    </row>
    <row r="95" spans="2:5" ht="12.75">
      <c r="B95" s="49">
        <v>2</v>
      </c>
      <c r="C95" s="33" t="s">
        <v>282</v>
      </c>
      <c r="D95" s="49" t="s">
        <v>4</v>
      </c>
      <c r="E95" s="50">
        <v>1850</v>
      </c>
    </row>
    <row r="98" ht="12.75">
      <c r="B98" s="44" t="s">
        <v>292</v>
      </c>
    </row>
    <row r="99" spans="2:5" ht="12.75">
      <c r="B99" s="38" t="s">
        <v>252</v>
      </c>
      <c r="C99" s="39" t="s">
        <v>244</v>
      </c>
      <c r="D99" s="40" t="s">
        <v>3</v>
      </c>
      <c r="E99" s="40" t="s">
        <v>29</v>
      </c>
    </row>
    <row r="100" spans="2:5" ht="38.25">
      <c r="B100" s="49">
        <v>1</v>
      </c>
      <c r="C100" s="33" t="s">
        <v>293</v>
      </c>
      <c r="D100" s="49" t="s">
        <v>5</v>
      </c>
      <c r="E100" s="50">
        <v>1</v>
      </c>
    </row>
    <row r="101" spans="2:5" ht="25.5">
      <c r="B101" s="49">
        <v>2</v>
      </c>
      <c r="C101" s="33" t="s">
        <v>294</v>
      </c>
      <c r="D101" s="49" t="s">
        <v>5</v>
      </c>
      <c r="E101" s="50">
        <v>1</v>
      </c>
    </row>
    <row r="102" spans="2:5" ht="38.25">
      <c r="B102" s="49">
        <v>3</v>
      </c>
      <c r="C102" s="33" t="s">
        <v>295</v>
      </c>
      <c r="D102" s="61" t="s">
        <v>5</v>
      </c>
      <c r="E102" s="50">
        <v>1</v>
      </c>
    </row>
    <row r="104" spans="2:5" ht="12.75">
      <c r="B104" s="44" t="s">
        <v>296</v>
      </c>
      <c r="C104" s="55"/>
      <c r="D104" s="48"/>
      <c r="E104" s="37"/>
    </row>
    <row r="105" spans="2:5" ht="12.75">
      <c r="B105" s="38" t="s">
        <v>252</v>
      </c>
      <c r="C105" s="39" t="s">
        <v>244</v>
      </c>
      <c r="D105" s="40" t="s">
        <v>3</v>
      </c>
      <c r="E105" s="40" t="s">
        <v>29</v>
      </c>
    </row>
    <row r="106" spans="2:5" ht="25.5">
      <c r="B106" s="49">
        <v>1</v>
      </c>
      <c r="C106" s="33" t="s">
        <v>278</v>
      </c>
      <c r="D106" s="49" t="s">
        <v>5</v>
      </c>
      <c r="E106" s="50">
        <v>1</v>
      </c>
    </row>
    <row r="107" spans="2:5" ht="12.75">
      <c r="B107" s="49">
        <v>2</v>
      </c>
      <c r="C107" s="33" t="s">
        <v>282</v>
      </c>
      <c r="D107" s="49" t="s">
        <v>4</v>
      </c>
      <c r="E107" s="50">
        <v>2500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1">
      <selection activeCell="G38" sqref="G38"/>
    </sheetView>
  </sheetViews>
  <sheetFormatPr defaultColWidth="56.7109375" defaultRowHeight="12.75"/>
  <cols>
    <col min="1" max="1" width="3.7109375" style="0" customWidth="1"/>
    <col min="2" max="2" width="18.7109375" style="0" bestFit="1" customWidth="1"/>
    <col min="3" max="3" width="6.00390625" style="0" bestFit="1" customWidth="1"/>
    <col min="4" max="4" width="6.00390625" style="101" customWidth="1"/>
    <col min="5" max="5" width="4.28125" style="0" bestFit="1" customWidth="1"/>
    <col min="6" max="6" width="15.00390625" style="0" bestFit="1" customWidth="1"/>
    <col min="7" max="7" width="56.57421875" style="0" bestFit="1" customWidth="1"/>
    <col min="8" max="8" width="10.7109375" style="0" customWidth="1"/>
    <col min="9" max="9" width="14.28125" style="0" hidden="1" customWidth="1"/>
    <col min="10" max="10" width="14.7109375" style="0" hidden="1" customWidth="1"/>
    <col min="11" max="11" width="16.28125" style="0" hidden="1" customWidth="1"/>
    <col min="12" max="12" width="19.28125" style="0" hidden="1" customWidth="1"/>
    <col min="13" max="13" width="12.8515625" style="0" bestFit="1" customWidth="1"/>
  </cols>
  <sheetData>
    <row r="1" ht="12.75">
      <c r="E1" s="4" t="s">
        <v>216</v>
      </c>
    </row>
    <row r="2" spans="1:13" ht="38.25">
      <c r="A2" s="24" t="s">
        <v>314</v>
      </c>
      <c r="B2" s="24" t="s">
        <v>1</v>
      </c>
      <c r="C2" s="24" t="s">
        <v>153</v>
      </c>
      <c r="D2" s="102"/>
      <c r="E2" s="93" t="s">
        <v>252</v>
      </c>
      <c r="F2" s="93" t="s">
        <v>128</v>
      </c>
      <c r="G2" s="93" t="s">
        <v>127</v>
      </c>
      <c r="H2" s="112" t="s">
        <v>321</v>
      </c>
      <c r="I2" s="93" t="s">
        <v>221</v>
      </c>
      <c r="J2" s="93" t="s">
        <v>222</v>
      </c>
      <c r="K2" s="93" t="s">
        <v>223</v>
      </c>
      <c r="L2" s="93" t="s">
        <v>224</v>
      </c>
      <c r="M2" s="93" t="s">
        <v>318</v>
      </c>
    </row>
    <row r="3" spans="1:13" ht="38.25">
      <c r="A3" s="61">
        <v>1</v>
      </c>
      <c r="B3" s="70" t="s">
        <v>179</v>
      </c>
      <c r="C3" s="5" t="s">
        <v>307</v>
      </c>
      <c r="D3" s="8"/>
      <c r="E3" s="5">
        <v>1</v>
      </c>
      <c r="F3" s="70" t="s">
        <v>188</v>
      </c>
      <c r="G3" s="28" t="s">
        <v>209</v>
      </c>
      <c r="H3" s="71">
        <v>250000</v>
      </c>
      <c r="I3" s="72">
        <v>12500</v>
      </c>
      <c r="J3" s="72">
        <v>12500</v>
      </c>
      <c r="K3" s="72">
        <v>275000</v>
      </c>
      <c r="L3" s="72">
        <v>13750</v>
      </c>
      <c r="M3" s="72">
        <v>288750</v>
      </c>
    </row>
    <row r="4" spans="1:13" ht="12.75">
      <c r="A4" s="61">
        <v>2</v>
      </c>
      <c r="B4" s="70" t="s">
        <v>298</v>
      </c>
      <c r="C4" s="5" t="s">
        <v>307</v>
      </c>
      <c r="D4" s="8"/>
      <c r="E4" s="5">
        <v>2</v>
      </c>
      <c r="F4" s="70" t="s">
        <v>219</v>
      </c>
      <c r="G4" s="3" t="s">
        <v>220</v>
      </c>
      <c r="H4" s="71">
        <v>61050</v>
      </c>
      <c r="I4" s="72">
        <v>3053</v>
      </c>
      <c r="J4" s="72">
        <v>3053</v>
      </c>
      <c r="K4" s="72">
        <v>67156</v>
      </c>
      <c r="L4" s="72">
        <v>3358</v>
      </c>
      <c r="M4" s="72">
        <v>70514</v>
      </c>
    </row>
    <row r="5" spans="1:13" ht="25.5">
      <c r="A5" s="61">
        <v>3</v>
      </c>
      <c r="B5" s="3" t="s">
        <v>152</v>
      </c>
      <c r="C5" s="5" t="s">
        <v>307</v>
      </c>
      <c r="D5" s="8"/>
      <c r="E5" s="5">
        <v>3</v>
      </c>
      <c r="F5" s="3" t="s">
        <v>129</v>
      </c>
      <c r="G5" s="73" t="s">
        <v>201</v>
      </c>
      <c r="H5" s="75">
        <v>490025</v>
      </c>
      <c r="I5" s="72"/>
      <c r="J5" s="72"/>
      <c r="K5" s="72">
        <v>490025</v>
      </c>
      <c r="L5" s="72">
        <v>7500</v>
      </c>
      <c r="M5" s="72">
        <v>497525</v>
      </c>
    </row>
    <row r="6" spans="1:13" ht="12.75">
      <c r="A6" s="61">
        <v>4</v>
      </c>
      <c r="B6" s="3" t="s">
        <v>137</v>
      </c>
      <c r="C6" s="5" t="s">
        <v>307</v>
      </c>
      <c r="D6" s="8"/>
      <c r="E6" s="5">
        <v>4</v>
      </c>
      <c r="F6" s="3" t="s">
        <v>129</v>
      </c>
      <c r="G6" s="73" t="s">
        <v>202</v>
      </c>
      <c r="H6" s="75">
        <v>713240</v>
      </c>
      <c r="I6" s="72">
        <v>35662</v>
      </c>
      <c r="J6" s="72">
        <v>35662</v>
      </c>
      <c r="K6" s="72">
        <v>784564</v>
      </c>
      <c r="L6" s="72">
        <v>39228</v>
      </c>
      <c r="M6" s="72">
        <v>823792</v>
      </c>
    </row>
    <row r="7" spans="1:13" ht="12.75">
      <c r="A7" s="61">
        <v>5</v>
      </c>
      <c r="B7" s="3" t="s">
        <v>133</v>
      </c>
      <c r="C7" s="5" t="s">
        <v>307</v>
      </c>
      <c r="D7" s="8"/>
      <c r="E7" s="5">
        <v>5</v>
      </c>
      <c r="F7" s="3" t="s">
        <v>129</v>
      </c>
      <c r="G7" s="73" t="s">
        <v>185</v>
      </c>
      <c r="H7" s="75">
        <v>157500</v>
      </c>
      <c r="I7" s="72">
        <v>7875</v>
      </c>
      <c r="J7" s="72">
        <v>7875</v>
      </c>
      <c r="K7" s="72">
        <v>173250</v>
      </c>
      <c r="L7" s="72">
        <v>8663</v>
      </c>
      <c r="M7" s="72">
        <v>181913</v>
      </c>
    </row>
    <row r="8" spans="1:13" ht="38.25">
      <c r="A8" s="61">
        <v>8</v>
      </c>
      <c r="B8" s="3" t="s">
        <v>181</v>
      </c>
      <c r="C8" s="5" t="s">
        <v>307</v>
      </c>
      <c r="D8" s="8"/>
      <c r="E8" s="5">
        <v>6</v>
      </c>
      <c r="F8" s="3" t="s">
        <v>129</v>
      </c>
      <c r="G8" s="73" t="s">
        <v>206</v>
      </c>
      <c r="H8" s="75">
        <v>75100</v>
      </c>
      <c r="I8" s="72">
        <v>3755</v>
      </c>
      <c r="J8" s="72">
        <v>3755</v>
      </c>
      <c r="K8" s="72">
        <v>82610</v>
      </c>
      <c r="L8" s="72">
        <v>4131</v>
      </c>
      <c r="M8" s="72">
        <v>86741</v>
      </c>
    </row>
    <row r="9" spans="1:13" ht="38.25">
      <c r="A9" s="61">
        <v>9</v>
      </c>
      <c r="B9" s="3" t="s">
        <v>162</v>
      </c>
      <c r="C9" s="5" t="s">
        <v>307</v>
      </c>
      <c r="D9" s="8"/>
      <c r="E9" s="5">
        <v>7</v>
      </c>
      <c r="F9" s="3" t="s">
        <v>83</v>
      </c>
      <c r="G9" s="73" t="s">
        <v>186</v>
      </c>
      <c r="H9" s="75">
        <v>373000</v>
      </c>
      <c r="I9" s="72">
        <v>18650</v>
      </c>
      <c r="J9" s="72">
        <v>18650</v>
      </c>
      <c r="K9" s="72">
        <v>410300</v>
      </c>
      <c r="L9" s="72">
        <v>20515</v>
      </c>
      <c r="M9" s="72">
        <v>430815</v>
      </c>
    </row>
    <row r="10" spans="1:13" ht="25.5">
      <c r="A10" s="61">
        <v>10</v>
      </c>
      <c r="B10" s="3" t="s">
        <v>198</v>
      </c>
      <c r="C10" s="5" t="s">
        <v>307</v>
      </c>
      <c r="D10" s="8"/>
      <c r="E10" s="5">
        <v>8</v>
      </c>
      <c r="F10" s="3" t="s">
        <v>83</v>
      </c>
      <c r="G10" s="73" t="s">
        <v>232</v>
      </c>
      <c r="H10" s="75">
        <v>487750</v>
      </c>
      <c r="I10" s="72">
        <v>24388</v>
      </c>
      <c r="J10" s="72">
        <v>24388</v>
      </c>
      <c r="K10" s="72">
        <v>536526</v>
      </c>
      <c r="L10" s="72">
        <v>26826</v>
      </c>
      <c r="M10" s="72">
        <v>563352</v>
      </c>
    </row>
    <row r="11" spans="1:13" ht="25.5">
      <c r="A11" s="61">
        <v>12</v>
      </c>
      <c r="B11" s="3" t="s">
        <v>86</v>
      </c>
      <c r="C11" s="5" t="s">
        <v>307</v>
      </c>
      <c r="D11" s="8"/>
      <c r="E11" s="5">
        <v>9</v>
      </c>
      <c r="F11" s="3" t="s">
        <v>83</v>
      </c>
      <c r="G11" s="73" t="s">
        <v>234</v>
      </c>
      <c r="H11" s="75">
        <v>584500</v>
      </c>
      <c r="I11" s="72">
        <v>29225</v>
      </c>
      <c r="J11" s="72">
        <v>29225</v>
      </c>
      <c r="K11" s="72">
        <v>642950</v>
      </c>
      <c r="L11" s="72">
        <v>32148</v>
      </c>
      <c r="M11" s="72">
        <v>675098</v>
      </c>
    </row>
    <row r="12" spans="1:13" ht="25.5">
      <c r="A12" s="61">
        <v>14</v>
      </c>
      <c r="B12" s="3" t="s">
        <v>159</v>
      </c>
      <c r="C12" s="5" t="s">
        <v>307</v>
      </c>
      <c r="D12" s="8"/>
      <c r="E12" s="107">
        <v>10</v>
      </c>
      <c r="F12" s="106" t="s">
        <v>231</v>
      </c>
      <c r="G12" s="73" t="s">
        <v>203</v>
      </c>
      <c r="H12" s="75">
        <v>288200</v>
      </c>
      <c r="I12" s="72">
        <v>14410</v>
      </c>
      <c r="J12" s="72">
        <v>14410</v>
      </c>
      <c r="K12" s="72">
        <v>317020</v>
      </c>
      <c r="L12" s="72">
        <v>15851</v>
      </c>
      <c r="M12" s="72">
        <v>332871</v>
      </c>
    </row>
    <row r="13" spans="1:13" ht="25.5">
      <c r="A13" s="61">
        <v>15</v>
      </c>
      <c r="B13" s="3" t="s">
        <v>204</v>
      </c>
      <c r="C13" s="5" t="s">
        <v>307</v>
      </c>
      <c r="D13" s="8"/>
      <c r="E13" s="108"/>
      <c r="F13" s="10"/>
      <c r="G13" s="73" t="s">
        <v>205</v>
      </c>
      <c r="H13" s="75">
        <v>96000</v>
      </c>
      <c r="I13" s="72">
        <v>4800</v>
      </c>
      <c r="J13" s="72">
        <v>4800</v>
      </c>
      <c r="K13" s="72">
        <v>105600</v>
      </c>
      <c r="L13" s="72">
        <v>5280</v>
      </c>
      <c r="M13" s="72">
        <v>110880</v>
      </c>
    </row>
    <row r="14" spans="1:13" ht="25.5">
      <c r="A14" s="61">
        <v>16</v>
      </c>
      <c r="B14" s="3" t="s">
        <v>167</v>
      </c>
      <c r="C14" s="5" t="s">
        <v>307</v>
      </c>
      <c r="D14" s="8"/>
      <c r="E14" s="5">
        <v>11</v>
      </c>
      <c r="F14" s="3" t="s">
        <v>102</v>
      </c>
      <c r="G14" s="73" t="s">
        <v>168</v>
      </c>
      <c r="H14" s="75">
        <v>288200</v>
      </c>
      <c r="I14" s="72">
        <v>14410</v>
      </c>
      <c r="J14" s="72">
        <v>14410</v>
      </c>
      <c r="K14" s="72">
        <v>317020</v>
      </c>
      <c r="L14" s="72">
        <v>15851</v>
      </c>
      <c r="M14" s="72">
        <v>332871</v>
      </c>
    </row>
    <row r="15" spans="1:13" ht="25.5">
      <c r="A15" s="61">
        <v>18</v>
      </c>
      <c r="B15" s="3" t="s">
        <v>103</v>
      </c>
      <c r="C15" s="5" t="s">
        <v>307</v>
      </c>
      <c r="D15" s="8"/>
      <c r="E15" s="5">
        <v>12</v>
      </c>
      <c r="F15" s="3" t="s">
        <v>231</v>
      </c>
      <c r="G15" s="73" t="s">
        <v>236</v>
      </c>
      <c r="H15" s="75">
        <v>287950</v>
      </c>
      <c r="I15" s="72">
        <v>14398</v>
      </c>
      <c r="J15" s="72">
        <v>14398</v>
      </c>
      <c r="K15" s="72">
        <v>316746</v>
      </c>
      <c r="L15" s="72">
        <v>15837</v>
      </c>
      <c r="M15" s="72">
        <v>332583</v>
      </c>
    </row>
    <row r="16" spans="1:13" ht="12.75">
      <c r="A16" s="61">
        <v>20</v>
      </c>
      <c r="B16" s="3" t="s">
        <v>176</v>
      </c>
      <c r="C16" s="5" t="s">
        <v>307</v>
      </c>
      <c r="D16" s="8"/>
      <c r="E16" s="5">
        <v>13</v>
      </c>
      <c r="F16" s="3" t="s">
        <v>171</v>
      </c>
      <c r="G16" s="73" t="s">
        <v>207</v>
      </c>
      <c r="H16" s="75">
        <v>297100</v>
      </c>
      <c r="I16" s="72">
        <v>14855</v>
      </c>
      <c r="J16" s="72">
        <v>14855</v>
      </c>
      <c r="K16" s="72">
        <v>326810</v>
      </c>
      <c r="L16" s="72">
        <v>16341</v>
      </c>
      <c r="M16" s="72">
        <v>343151</v>
      </c>
    </row>
    <row r="17" spans="1:13" ht="12.75">
      <c r="A17" s="61">
        <v>26</v>
      </c>
      <c r="B17" s="3" t="s">
        <v>178</v>
      </c>
      <c r="C17" s="5" t="s">
        <v>307</v>
      </c>
      <c r="D17" s="8"/>
      <c r="E17" s="5">
        <v>14</v>
      </c>
      <c r="F17" s="3" t="s">
        <v>101</v>
      </c>
      <c r="G17" s="73" t="s">
        <v>208</v>
      </c>
      <c r="H17" s="75">
        <v>20000</v>
      </c>
      <c r="I17" s="72">
        <v>1000</v>
      </c>
      <c r="J17" s="72">
        <v>1000</v>
      </c>
      <c r="K17" s="72">
        <v>22000</v>
      </c>
      <c r="L17" s="72">
        <v>1100</v>
      </c>
      <c r="M17" s="72">
        <v>23100</v>
      </c>
    </row>
    <row r="18" spans="1:13" ht="12.75">
      <c r="A18" s="61">
        <v>28</v>
      </c>
      <c r="B18" s="3" t="s">
        <v>163</v>
      </c>
      <c r="C18" s="5" t="s">
        <v>307</v>
      </c>
      <c r="D18" s="8"/>
      <c r="E18" s="5">
        <v>15</v>
      </c>
      <c r="F18" s="3" t="s">
        <v>164</v>
      </c>
      <c r="G18" s="73" t="s">
        <v>319</v>
      </c>
      <c r="H18" s="75">
        <v>190000</v>
      </c>
      <c r="I18" s="72">
        <v>9500</v>
      </c>
      <c r="J18" s="72">
        <v>9500</v>
      </c>
      <c r="K18" s="72">
        <v>209000</v>
      </c>
      <c r="L18" s="72">
        <v>10450</v>
      </c>
      <c r="M18" s="72">
        <v>219450</v>
      </c>
    </row>
    <row r="19" spans="1:13" ht="12.75">
      <c r="A19" s="61">
        <v>30</v>
      </c>
      <c r="B19" s="3" t="s">
        <v>165</v>
      </c>
      <c r="C19" s="5" t="s">
        <v>307</v>
      </c>
      <c r="D19" s="8"/>
      <c r="E19" s="5">
        <v>16</v>
      </c>
      <c r="F19" s="3" t="s">
        <v>164</v>
      </c>
      <c r="G19" s="73" t="s">
        <v>316</v>
      </c>
      <c r="H19" s="75">
        <v>102500</v>
      </c>
      <c r="I19" s="72">
        <v>5125</v>
      </c>
      <c r="J19" s="72">
        <v>5125</v>
      </c>
      <c r="K19" s="72">
        <v>112750</v>
      </c>
      <c r="L19" s="72">
        <v>5638</v>
      </c>
      <c r="M19" s="72">
        <v>118388</v>
      </c>
    </row>
    <row r="20" spans="1:13" ht="12.75">
      <c r="A20" s="61"/>
      <c r="B20" s="3"/>
      <c r="C20" s="5"/>
      <c r="D20" s="103"/>
      <c r="E20" s="96"/>
      <c r="F20" s="100"/>
      <c r="G20" s="98" t="s">
        <v>218</v>
      </c>
      <c r="H20" s="80">
        <f aca="true" t="shared" si="0" ref="H20:M20">SUM(H3:H19)</f>
        <v>4762115</v>
      </c>
      <c r="I20" s="80">
        <f t="shared" si="0"/>
        <v>213606</v>
      </c>
      <c r="J20" s="80">
        <f t="shared" si="0"/>
        <v>213606</v>
      </c>
      <c r="K20" s="80">
        <f t="shared" si="0"/>
        <v>5189327</v>
      </c>
      <c r="L20" s="80">
        <f t="shared" si="0"/>
        <v>242467</v>
      </c>
      <c r="M20" s="80">
        <f t="shared" si="0"/>
        <v>5431794</v>
      </c>
    </row>
    <row r="21" spans="1:13" ht="12.75">
      <c r="A21" s="81"/>
      <c r="B21" s="82"/>
      <c r="C21" s="83"/>
      <c r="D21" s="6"/>
      <c r="E21" s="83"/>
      <c r="F21" s="82"/>
      <c r="G21" s="84"/>
      <c r="H21" s="85"/>
      <c r="I21" s="85"/>
      <c r="J21" s="85"/>
      <c r="K21" s="85"/>
      <c r="L21" s="85"/>
      <c r="M21" s="85"/>
    </row>
    <row r="22" spans="1:13" ht="12.75">
      <c r="A22" s="86"/>
      <c r="B22" s="87"/>
      <c r="C22" s="88"/>
      <c r="D22" s="6"/>
      <c r="E22" s="88"/>
      <c r="F22" s="87" t="s">
        <v>317</v>
      </c>
      <c r="G22" s="89"/>
      <c r="H22" s="90"/>
      <c r="I22" s="91"/>
      <c r="J22" s="91"/>
      <c r="K22" s="91"/>
      <c r="L22" s="91"/>
      <c r="M22" s="91"/>
    </row>
    <row r="23" spans="1:13" ht="38.25">
      <c r="A23" s="24" t="s">
        <v>314</v>
      </c>
      <c r="B23" s="24" t="s">
        <v>1</v>
      </c>
      <c r="C23" s="95" t="s">
        <v>153</v>
      </c>
      <c r="D23" s="104"/>
      <c r="E23" s="99" t="s">
        <v>252</v>
      </c>
      <c r="F23" s="92" t="s">
        <v>128</v>
      </c>
      <c r="G23" s="93" t="s">
        <v>127</v>
      </c>
      <c r="H23" s="112" t="s">
        <v>321</v>
      </c>
      <c r="I23" s="93" t="s">
        <v>221</v>
      </c>
      <c r="J23" s="93" t="s">
        <v>222</v>
      </c>
      <c r="K23" s="93" t="s">
        <v>223</v>
      </c>
      <c r="L23" s="93" t="s">
        <v>224</v>
      </c>
      <c r="M23" s="93" t="s">
        <v>318</v>
      </c>
    </row>
    <row r="24" spans="1:13" ht="25.5">
      <c r="A24" s="61">
        <v>6</v>
      </c>
      <c r="B24" s="3" t="s">
        <v>195</v>
      </c>
      <c r="C24" s="96" t="s">
        <v>308</v>
      </c>
      <c r="D24" s="103"/>
      <c r="E24" s="96">
        <v>1</v>
      </c>
      <c r="F24" s="3" t="s">
        <v>129</v>
      </c>
      <c r="G24" s="73" t="s">
        <v>196</v>
      </c>
      <c r="H24" s="74">
        <v>65900</v>
      </c>
      <c r="I24" s="72">
        <v>3295</v>
      </c>
      <c r="J24" s="72">
        <v>3295</v>
      </c>
      <c r="K24" s="72">
        <v>72490</v>
      </c>
      <c r="L24" s="72">
        <v>3625</v>
      </c>
      <c r="M24" s="72">
        <v>76115</v>
      </c>
    </row>
    <row r="25" spans="1:13" ht="25.5">
      <c r="A25" s="61">
        <v>7</v>
      </c>
      <c r="B25" s="3" t="s">
        <v>158</v>
      </c>
      <c r="C25" s="96" t="s">
        <v>308</v>
      </c>
      <c r="D25" s="103"/>
      <c r="E25" s="96">
        <v>2</v>
      </c>
      <c r="F25" s="3" t="s">
        <v>129</v>
      </c>
      <c r="G25" s="73" t="s">
        <v>180</v>
      </c>
      <c r="H25" s="74">
        <v>54000</v>
      </c>
      <c r="I25" s="72">
        <v>2700</v>
      </c>
      <c r="J25" s="72">
        <v>2700</v>
      </c>
      <c r="K25" s="72">
        <v>59400</v>
      </c>
      <c r="L25" s="72">
        <v>2970</v>
      </c>
      <c r="M25" s="72">
        <v>62370</v>
      </c>
    </row>
    <row r="26" spans="1:13" ht="25.5">
      <c r="A26" s="61">
        <v>11</v>
      </c>
      <c r="B26" s="3" t="s">
        <v>200</v>
      </c>
      <c r="C26" s="96" t="s">
        <v>308</v>
      </c>
      <c r="D26" s="103"/>
      <c r="E26" s="96">
        <v>3</v>
      </c>
      <c r="F26" s="3" t="s">
        <v>83</v>
      </c>
      <c r="G26" s="73" t="s">
        <v>233</v>
      </c>
      <c r="H26" s="75">
        <v>190800</v>
      </c>
      <c r="I26" s="72">
        <v>9540</v>
      </c>
      <c r="J26" s="72">
        <v>9540</v>
      </c>
      <c r="K26" s="72">
        <v>209880</v>
      </c>
      <c r="L26" s="72">
        <v>10494</v>
      </c>
      <c r="M26" s="72">
        <v>220374</v>
      </c>
    </row>
    <row r="27" spans="1:13" ht="12.75">
      <c r="A27" s="61">
        <v>13</v>
      </c>
      <c r="B27" s="3" t="s">
        <v>226</v>
      </c>
      <c r="C27" s="96" t="s">
        <v>308</v>
      </c>
      <c r="D27" s="103"/>
      <c r="E27" s="96">
        <v>4</v>
      </c>
      <c r="F27" s="3" t="s">
        <v>231</v>
      </c>
      <c r="G27" s="73" t="s">
        <v>315</v>
      </c>
      <c r="H27" s="75">
        <v>30000</v>
      </c>
      <c r="I27" s="72">
        <v>1500</v>
      </c>
      <c r="J27" s="72">
        <v>1500</v>
      </c>
      <c r="K27" s="72">
        <v>33000</v>
      </c>
      <c r="L27" s="72">
        <v>1650</v>
      </c>
      <c r="M27" s="72">
        <v>34650</v>
      </c>
    </row>
    <row r="28" spans="1:13" ht="25.5">
      <c r="A28" s="61">
        <v>17</v>
      </c>
      <c r="B28" s="3" t="s">
        <v>104</v>
      </c>
      <c r="C28" s="96" t="s">
        <v>308</v>
      </c>
      <c r="D28" s="103"/>
      <c r="E28" s="96">
        <v>5</v>
      </c>
      <c r="F28" s="3" t="s">
        <v>231</v>
      </c>
      <c r="G28" s="73" t="s">
        <v>235</v>
      </c>
      <c r="H28" s="75">
        <v>230500</v>
      </c>
      <c r="I28" s="72">
        <v>11525</v>
      </c>
      <c r="J28" s="72">
        <v>11525</v>
      </c>
      <c r="K28" s="72">
        <v>253550</v>
      </c>
      <c r="L28" s="72">
        <v>12678</v>
      </c>
      <c r="M28" s="72">
        <v>266228</v>
      </c>
    </row>
    <row r="29" spans="1:13" ht="25.5">
      <c r="A29" s="61">
        <v>19</v>
      </c>
      <c r="B29" s="3" t="s">
        <v>105</v>
      </c>
      <c r="C29" s="96" t="s">
        <v>308</v>
      </c>
      <c r="D29" s="103"/>
      <c r="E29" s="96">
        <v>6</v>
      </c>
      <c r="F29" s="3" t="s">
        <v>102</v>
      </c>
      <c r="G29" s="73" t="s">
        <v>175</v>
      </c>
      <c r="H29" s="75">
        <v>181700</v>
      </c>
      <c r="I29" s="72">
        <v>9085</v>
      </c>
      <c r="J29" s="72">
        <v>9085</v>
      </c>
      <c r="K29" s="72">
        <v>199870</v>
      </c>
      <c r="L29" s="72">
        <v>9994</v>
      </c>
      <c r="M29" s="72">
        <v>209864</v>
      </c>
    </row>
    <row r="30" spans="1:13" ht="25.5">
      <c r="A30" s="61">
        <v>21</v>
      </c>
      <c r="B30" s="3" t="s">
        <v>124</v>
      </c>
      <c r="C30" s="97" t="s">
        <v>308</v>
      </c>
      <c r="D30" s="105"/>
      <c r="E30" s="96">
        <v>7</v>
      </c>
      <c r="F30" s="3" t="s">
        <v>171</v>
      </c>
      <c r="G30" s="77" t="s">
        <v>177</v>
      </c>
      <c r="H30" s="74">
        <v>269300</v>
      </c>
      <c r="I30" s="72">
        <v>13465</v>
      </c>
      <c r="J30" s="72">
        <v>13465</v>
      </c>
      <c r="K30" s="72">
        <v>296230</v>
      </c>
      <c r="L30" s="72">
        <v>14812</v>
      </c>
      <c r="M30" s="72">
        <v>311042</v>
      </c>
    </row>
    <row r="31" spans="1:13" ht="12.75">
      <c r="A31" s="61">
        <v>25</v>
      </c>
      <c r="B31" s="3" t="s">
        <v>96</v>
      </c>
      <c r="C31" s="97" t="s">
        <v>308</v>
      </c>
      <c r="D31" s="105"/>
      <c r="E31" s="96">
        <v>8</v>
      </c>
      <c r="F31" s="3" t="s">
        <v>101</v>
      </c>
      <c r="G31" s="73" t="s">
        <v>237</v>
      </c>
      <c r="H31" s="74">
        <v>66000</v>
      </c>
      <c r="I31" s="72">
        <v>3300</v>
      </c>
      <c r="J31" s="72">
        <v>3300</v>
      </c>
      <c r="K31" s="72">
        <v>72600</v>
      </c>
      <c r="L31" s="72">
        <v>3630</v>
      </c>
      <c r="M31" s="72">
        <v>76230</v>
      </c>
    </row>
    <row r="32" spans="1:13" ht="12.75">
      <c r="A32" s="61">
        <v>27</v>
      </c>
      <c r="B32" s="3" t="s">
        <v>170</v>
      </c>
      <c r="C32" s="97" t="s">
        <v>308</v>
      </c>
      <c r="D32" s="105"/>
      <c r="E32" s="96">
        <v>9</v>
      </c>
      <c r="F32" s="3" t="s">
        <v>174</v>
      </c>
      <c r="G32" s="73" t="s">
        <v>187</v>
      </c>
      <c r="H32" s="74">
        <v>150000</v>
      </c>
      <c r="I32" s="72">
        <v>7500</v>
      </c>
      <c r="J32" s="72">
        <v>7500</v>
      </c>
      <c r="K32" s="72">
        <v>165000</v>
      </c>
      <c r="L32" s="72">
        <v>8250</v>
      </c>
      <c r="M32" s="72">
        <v>173250</v>
      </c>
    </row>
    <row r="33" spans="1:13" ht="12.75">
      <c r="A33" s="61">
        <v>29</v>
      </c>
      <c r="B33" s="3" t="s">
        <v>304</v>
      </c>
      <c r="C33" s="97" t="s">
        <v>308</v>
      </c>
      <c r="D33" s="105"/>
      <c r="E33" s="96">
        <v>10</v>
      </c>
      <c r="F33" s="3" t="s">
        <v>164</v>
      </c>
      <c r="G33" s="73" t="s">
        <v>238</v>
      </c>
      <c r="H33" s="74">
        <v>213000</v>
      </c>
      <c r="I33" s="72">
        <v>10650</v>
      </c>
      <c r="J33" s="72">
        <v>10650</v>
      </c>
      <c r="K33" s="72">
        <v>234300</v>
      </c>
      <c r="L33" s="72">
        <v>11715</v>
      </c>
      <c r="M33" s="72">
        <v>246015</v>
      </c>
    </row>
    <row r="34" spans="1:13" ht="12.75">
      <c r="A34" s="61">
        <v>22</v>
      </c>
      <c r="B34" s="3" t="s">
        <v>227</v>
      </c>
      <c r="C34" s="97" t="s">
        <v>308</v>
      </c>
      <c r="D34" s="105"/>
      <c r="E34" s="109">
        <v>11</v>
      </c>
      <c r="F34" s="106" t="s">
        <v>227</v>
      </c>
      <c r="G34" s="73" t="s">
        <v>228</v>
      </c>
      <c r="H34" s="74">
        <v>259500</v>
      </c>
      <c r="I34" s="72">
        <v>12975</v>
      </c>
      <c r="J34" s="72">
        <v>12975</v>
      </c>
      <c r="K34" s="72">
        <v>285450</v>
      </c>
      <c r="L34" s="72">
        <v>14273</v>
      </c>
      <c r="M34" s="72">
        <v>299723</v>
      </c>
    </row>
    <row r="35" spans="1:13" ht="12.75">
      <c r="A35" s="61">
        <v>23</v>
      </c>
      <c r="B35" s="3" t="s">
        <v>227</v>
      </c>
      <c r="C35" s="97" t="s">
        <v>308</v>
      </c>
      <c r="D35" s="105"/>
      <c r="E35" s="103"/>
      <c r="F35" s="110"/>
      <c r="G35" s="73" t="s">
        <v>229</v>
      </c>
      <c r="H35" s="74">
        <v>965100</v>
      </c>
      <c r="I35" s="72">
        <v>48255</v>
      </c>
      <c r="J35" s="72">
        <v>48255</v>
      </c>
      <c r="K35" s="72">
        <v>1061610</v>
      </c>
      <c r="L35" s="72">
        <v>53081</v>
      </c>
      <c r="M35" s="72">
        <v>1114691</v>
      </c>
    </row>
    <row r="36" spans="1:13" ht="25.5">
      <c r="A36" s="61">
        <v>24</v>
      </c>
      <c r="B36" s="3" t="s">
        <v>227</v>
      </c>
      <c r="C36" s="97" t="s">
        <v>308</v>
      </c>
      <c r="D36" s="105"/>
      <c r="E36" s="111"/>
      <c r="F36" s="10"/>
      <c r="G36" s="73" t="s">
        <v>230</v>
      </c>
      <c r="H36" s="74">
        <v>1603100</v>
      </c>
      <c r="I36" s="72">
        <v>80155</v>
      </c>
      <c r="J36" s="72">
        <v>80155</v>
      </c>
      <c r="K36" s="72">
        <v>1763410</v>
      </c>
      <c r="L36" s="72">
        <v>88171</v>
      </c>
      <c r="M36" s="72">
        <v>1851581</v>
      </c>
    </row>
    <row r="37" spans="1:13" s="94" customFormat="1" ht="12.75">
      <c r="A37" s="32"/>
      <c r="B37" s="32"/>
      <c r="C37" s="24"/>
      <c r="D37" s="104"/>
      <c r="E37" s="96"/>
      <c r="F37" s="100"/>
      <c r="G37" s="98" t="s">
        <v>218</v>
      </c>
      <c r="H37" s="80">
        <f aca="true" t="shared" si="1" ref="H37:M37">SUM(H24:H36)</f>
        <v>4278900</v>
      </c>
      <c r="I37" s="80">
        <f t="shared" si="1"/>
        <v>213945</v>
      </c>
      <c r="J37" s="80">
        <f t="shared" si="1"/>
        <v>213945</v>
      </c>
      <c r="K37" s="80">
        <f t="shared" si="1"/>
        <v>4706790</v>
      </c>
      <c r="L37" s="80">
        <f t="shared" si="1"/>
        <v>235343</v>
      </c>
      <c r="M37" s="80">
        <f t="shared" si="1"/>
        <v>4942133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Kiirvool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Margus</dc:creator>
  <cp:keywords/>
  <dc:description/>
  <cp:lastModifiedBy>Valdo Liiv</cp:lastModifiedBy>
  <cp:lastPrinted>2009-08-18T09:51:55Z</cp:lastPrinted>
  <dcterms:created xsi:type="dcterms:W3CDTF">2009-07-20T09:36:44Z</dcterms:created>
  <dcterms:modified xsi:type="dcterms:W3CDTF">2020-11-14T10:47:42Z</dcterms:modified>
  <cp:category/>
  <cp:version/>
  <cp:contentType/>
  <cp:contentStatus/>
</cp:coreProperties>
</file>